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295" windowHeight="8535" activeTab="0"/>
  </bookViews>
  <sheets>
    <sheet name="2018" sheetId="1" r:id="rId1"/>
    <sheet name="Лист1" sheetId="2" r:id="rId2"/>
  </sheets>
  <definedNames>
    <definedName name="_xlnm.Print_Area" localSheetId="0">'2018'!$A$20:$Q$520</definedName>
  </definedNames>
  <calcPr fullCalcOnLoad="1"/>
</workbook>
</file>

<file path=xl/sharedStrings.xml><?xml version="1.0" encoding="utf-8"?>
<sst xmlns="http://schemas.openxmlformats.org/spreadsheetml/2006/main" count="984" uniqueCount="73">
  <si>
    <t>Бубнівська сш</t>
  </si>
  <si>
    <t>Замличівська сш</t>
  </si>
  <si>
    <t>Затурцівська сш</t>
  </si>
  <si>
    <t>Колпитівська сш</t>
  </si>
  <si>
    <t>Конюхівська сш</t>
  </si>
  <si>
    <t>Локачинська сш</t>
  </si>
  <si>
    <t>Маньківська сш</t>
  </si>
  <si>
    <t>Павловичівська сш</t>
  </si>
  <si>
    <t>Привітненська сш</t>
  </si>
  <si>
    <t>Старозагорівська сш</t>
  </si>
  <si>
    <t>Холопичівська сш</t>
  </si>
  <si>
    <t>Шельвівська сш</t>
  </si>
  <si>
    <t>Всього</t>
  </si>
  <si>
    <t>Білопільська нсш</t>
  </si>
  <si>
    <t>Губинська нсш</t>
  </si>
  <si>
    <t>Заячицька нсш</t>
  </si>
  <si>
    <t>Зубильненська нсш</t>
  </si>
  <si>
    <t>Кисилинська нсш</t>
  </si>
  <si>
    <t>Козлівська нсш</t>
  </si>
  <si>
    <t>Коритницька нсш</t>
  </si>
  <si>
    <t>Линівська нсш</t>
  </si>
  <si>
    <t>Озютичівська нсш</t>
  </si>
  <si>
    <t>Окорська нсш</t>
  </si>
  <si>
    <t>П'ятикорівська нсш</t>
  </si>
  <si>
    <t>Туминська нсш</t>
  </si>
  <si>
    <t>Войнинська пш</t>
  </si>
  <si>
    <t>Дорогиничівська пш</t>
  </si>
  <si>
    <t>Залужанська пш</t>
  </si>
  <si>
    <t>Запустівська пш</t>
  </si>
  <si>
    <t>Кремешська пш</t>
  </si>
  <si>
    <t>Крухиничівська пш</t>
  </si>
  <si>
    <t>Марковичівська пш</t>
  </si>
  <si>
    <t>Новозагорівська пш</t>
  </si>
  <si>
    <t>Твердинівська пш</t>
  </si>
  <si>
    <t>Хорівська пш</t>
  </si>
  <si>
    <t>Всього за м-ць</t>
  </si>
  <si>
    <t>Назва  школи</t>
  </si>
  <si>
    <t>буд.школяра</t>
  </si>
  <si>
    <t>відділ освіти</t>
  </si>
  <si>
    <t>відділ освіти(заборг.)</t>
  </si>
  <si>
    <t>Білопільська ЗОШ</t>
  </si>
  <si>
    <t>Марковичі ДНЗ</t>
  </si>
  <si>
    <t>кас.витр.(школи)</t>
  </si>
  <si>
    <t>кас.витр.(ДНЗ)</t>
  </si>
  <si>
    <t>Використання бюджетних коштів за квітень м-ць 2015 р.</t>
  </si>
  <si>
    <t>Використання бюджетних коштів за травень м-ць 2015 р.</t>
  </si>
  <si>
    <t>Марковичівська ДНЗ</t>
  </si>
  <si>
    <t>Використання бюджетних коштів за червень м-ць 2015 р.</t>
  </si>
  <si>
    <t>Використання бюджетних коштів за липень м-ць 2015 р.</t>
  </si>
  <si>
    <t>Використання бюджетних коштів за серпень м-ць 2015 р.</t>
  </si>
  <si>
    <t>Використання бюджетних коштів за вересень м-ць 2015 р.</t>
  </si>
  <si>
    <t>Використання бюджетних коштів за листопад м-ць 2015 р.</t>
  </si>
  <si>
    <t>Використання бюджетних коштів за жовтень м-ць 2015 р.</t>
  </si>
  <si>
    <t>Використання бюджетних коштів за грудень м-ць 2015 р.</t>
  </si>
  <si>
    <t>Використання бюджетних коштів за січень м-ць 2016 р.</t>
  </si>
  <si>
    <t>Використання бюджетних коштів за лютий м-ць 2016 р.</t>
  </si>
  <si>
    <t>Використання бюджетних коштів за    січень-лютий  м-ці   2016 р.</t>
  </si>
  <si>
    <t>Використання бюджетних коштів за березень м-ць 2016 р.</t>
  </si>
  <si>
    <t>Використання бюджетних коштів за квітень м-ць 2017 р.</t>
  </si>
  <si>
    <t>Використання бюджетних коштів за травень м-ць 2017 р.</t>
  </si>
  <si>
    <t>Використання бюджетних коштів за червень м-ць 2017 р.</t>
  </si>
  <si>
    <t>Використання бюджетних коштів за липень м-ць 2017 р.</t>
  </si>
  <si>
    <t>Використання бюджетних коштів за серпень м-ць 2017 р.</t>
  </si>
  <si>
    <t>Використання бюджетних коштів за вересень м-ць 2017 р.</t>
  </si>
  <si>
    <t>Використання бюджетних коштів за жовтень м-ць 2017 р.</t>
  </si>
  <si>
    <t>Використання бюджетних коштів за листопад м-ць 2017 р.</t>
  </si>
  <si>
    <t>Використання бюджетних коштів за грудень м-ць 2017 р.</t>
  </si>
  <si>
    <r>
      <t xml:space="preserve">Використання бюджетних коштів по </t>
    </r>
    <r>
      <rPr>
        <b/>
        <i/>
        <u val="single"/>
        <sz val="14"/>
        <rFont val="Arial"/>
        <family val="2"/>
      </rPr>
      <t>(школах району)</t>
    </r>
    <r>
      <rPr>
        <b/>
        <i/>
        <sz val="12"/>
        <rFont val="Arial"/>
        <family val="2"/>
      </rPr>
      <t>за січень м-ць 2018 р.</t>
    </r>
  </si>
  <si>
    <t xml:space="preserve">Тумин </t>
  </si>
  <si>
    <r>
      <t xml:space="preserve">Використання бюджетних коштів по </t>
    </r>
    <r>
      <rPr>
        <b/>
        <i/>
        <u val="single"/>
        <sz val="14"/>
        <rFont val="Arial"/>
        <family val="2"/>
      </rPr>
      <t>(школах району)</t>
    </r>
    <r>
      <rPr>
        <b/>
        <i/>
        <sz val="12"/>
        <rFont val="Arial"/>
        <family val="2"/>
      </rPr>
      <t>за лютий м-ць 2018 р.</t>
    </r>
  </si>
  <si>
    <r>
      <t xml:space="preserve">Використання бюджетних коштів по </t>
    </r>
    <r>
      <rPr>
        <b/>
        <i/>
        <u val="single"/>
        <sz val="14"/>
        <rFont val="Arial"/>
        <family val="2"/>
      </rPr>
      <t>(школах району)</t>
    </r>
    <r>
      <rPr>
        <b/>
        <i/>
        <sz val="12"/>
        <rFont val="Arial"/>
        <family val="2"/>
      </rPr>
      <t>за березень м-ць 2018 р.</t>
    </r>
  </si>
  <si>
    <t xml:space="preserve">Всього </t>
  </si>
  <si>
    <t>Використання бюджетних коштів   за  1 квартал 2018 р.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</si>
</sst>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ак&quot;;&quot;Так&quot;;&quot;Ні&quot;"/>
    <numFmt numFmtId="173" formatCode="&quot;Істина&quot;;&quot;Істина&quot;;&quot;Хибність&quot;"/>
    <numFmt numFmtId="174" formatCode="&quot;Увімк&quot;;&quot;Увімк&quot;;&quot;Вимк&quot;"/>
    <numFmt numFmtId="175" formatCode="0.0"/>
    <numFmt numFmtId="176" formatCode="0.000"/>
    <numFmt numFmtId="177" formatCode="_-* #,##0.000\ _г_р_н_._-;\-* #,##0.000\ _г_р_н_._-;_-* &quot;-&quot;??\ _г_р_н_._-;_-@_-"/>
    <numFmt numFmtId="178" formatCode="_-* #,##0.0\ _г_р_н_._-;\-* #,##0.0\ _г_р_н_._-;_-* &quot;-&quot;??\ _г_р_н_._-;_-@_-"/>
    <numFmt numFmtId="179" formatCode="_-* #,##0\ _г_р_н_._-;\-* #,##0\ _г_р_н_._-;_-* &quot;-&quot;??\ _г_р_н_._-;_-@_-"/>
    <numFmt numFmtId="180" formatCode="0.0000"/>
    <numFmt numFmtId="181" formatCode="0.00000"/>
    <numFmt numFmtId="182" formatCode="0.000000"/>
    <numFmt numFmtId="183" formatCode="_-* #,##0.0000\ _г_р_н_._-;\-* #,##0.0000\ _г_р_н_._-;_-* &quot;-&quot;??\ _г_р_н_._-;_-@_-"/>
    <numFmt numFmtId="184" formatCode="#,##0.00_ ;\-#,##0.00\ "/>
  </numFmts>
  <fonts count="41">
    <font>
      <sz val="10"/>
      <name val="Arial"/>
      <family val="0"/>
    </font>
    <font>
      <sz val="11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Times New Roman"/>
      <family val="1"/>
    </font>
    <font>
      <b/>
      <i/>
      <sz val="9"/>
      <name val="Arial"/>
      <family val="2"/>
    </font>
    <font>
      <b/>
      <i/>
      <sz val="10"/>
      <name val="Arial"/>
      <family val="2"/>
    </font>
    <font>
      <i/>
      <sz val="9"/>
      <name val="Times New Roman"/>
      <family val="1"/>
    </font>
    <font>
      <i/>
      <sz val="9"/>
      <name val="Arial"/>
      <family val="2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i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4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justify" wrapText="1"/>
    </xf>
    <xf numFmtId="0" fontId="6" fillId="0" borderId="10" xfId="0" applyFont="1" applyBorder="1" applyAlignment="1">
      <alignment/>
    </xf>
    <xf numFmtId="2" fontId="5" fillId="0" borderId="10" xfId="0" applyNumberFormat="1" applyFont="1" applyBorder="1" applyAlignment="1">
      <alignment horizontal="justify" wrapText="1"/>
    </xf>
    <xf numFmtId="2" fontId="6" fillId="0" borderId="10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wrapText="1"/>
    </xf>
    <xf numFmtId="2" fontId="6" fillId="0" borderId="12" xfId="0" applyNumberFormat="1" applyFont="1" applyBorder="1" applyAlignment="1">
      <alignment/>
    </xf>
    <xf numFmtId="0" fontId="7" fillId="24" borderId="13" xfId="0" applyFont="1" applyFill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justify" wrapText="1"/>
    </xf>
    <xf numFmtId="0" fontId="5" fillId="0" borderId="13" xfId="0" applyFont="1" applyBorder="1" applyAlignment="1">
      <alignment horizontal="justify" wrapText="1"/>
    </xf>
    <xf numFmtId="2" fontId="5" fillId="0" borderId="17" xfId="0" applyNumberFormat="1" applyFont="1" applyBorder="1" applyAlignment="1">
      <alignment horizontal="center" wrapText="1"/>
    </xf>
    <xf numFmtId="2" fontId="5" fillId="0" borderId="12" xfId="0" applyNumberFormat="1" applyFont="1" applyBorder="1" applyAlignment="1">
      <alignment horizontal="center" wrapText="1"/>
    </xf>
    <xf numFmtId="0" fontId="5" fillId="0" borderId="18" xfId="0" applyFont="1" applyBorder="1" applyAlignment="1">
      <alignment horizontal="justify" wrapText="1"/>
    </xf>
    <xf numFmtId="0" fontId="5" fillId="0" borderId="19" xfId="0" applyFont="1" applyBorder="1" applyAlignment="1">
      <alignment horizontal="justify" wrapText="1"/>
    </xf>
    <xf numFmtId="0" fontId="5" fillId="0" borderId="19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1" xfId="0" applyFont="1" applyBorder="1" applyAlignment="1">
      <alignment horizontal="justify" wrapText="1"/>
    </xf>
    <xf numFmtId="0" fontId="0" fillId="0" borderId="11" xfId="0" applyBorder="1" applyAlignment="1">
      <alignment/>
    </xf>
    <xf numFmtId="2" fontId="8" fillId="24" borderId="13" xfId="0" applyNumberFormat="1" applyFont="1" applyFill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2" fontId="8" fillId="0" borderId="18" xfId="0" applyNumberFormat="1" applyFont="1" applyBorder="1" applyAlignment="1">
      <alignment horizontal="center"/>
    </xf>
    <xf numFmtId="0" fontId="5" fillId="24" borderId="13" xfId="0" applyFont="1" applyFill="1" applyBorder="1" applyAlignment="1">
      <alignment wrapText="1"/>
    </xf>
    <xf numFmtId="2" fontId="6" fillId="0" borderId="1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2" fontId="8" fillId="0" borderId="19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 wrapText="1"/>
    </xf>
    <xf numFmtId="2" fontId="5" fillId="0" borderId="10" xfId="0" applyNumberFormat="1" applyFont="1" applyFill="1" applyBorder="1" applyAlignment="1">
      <alignment wrapText="1"/>
    </xf>
    <xf numFmtId="2" fontId="6" fillId="0" borderId="11" xfId="0" applyNumberFormat="1" applyFont="1" applyBorder="1" applyAlignment="1">
      <alignment horizontal="center"/>
    </xf>
    <xf numFmtId="0" fontId="5" fillId="0" borderId="23" xfId="0" applyFont="1" applyBorder="1" applyAlignment="1">
      <alignment horizontal="justify" wrapText="1"/>
    </xf>
    <xf numFmtId="0" fontId="5" fillId="0" borderId="22" xfId="0" applyFont="1" applyBorder="1" applyAlignment="1">
      <alignment horizontal="justify" wrapText="1"/>
    </xf>
    <xf numFmtId="2" fontId="5" fillId="0" borderId="22" xfId="0" applyNumberFormat="1" applyFont="1" applyBorder="1" applyAlignment="1">
      <alignment horizontal="center" wrapText="1"/>
    </xf>
    <xf numFmtId="0" fontId="6" fillId="0" borderId="22" xfId="0" applyFont="1" applyBorder="1" applyAlignment="1">
      <alignment/>
    </xf>
    <xf numFmtId="0" fontId="6" fillId="0" borderId="24" xfId="0" applyFont="1" applyBorder="1" applyAlignment="1">
      <alignment/>
    </xf>
    <xf numFmtId="2" fontId="6" fillId="0" borderId="22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5" fillId="0" borderId="25" xfId="0" applyFont="1" applyBorder="1" applyAlignment="1">
      <alignment wrapText="1"/>
    </xf>
    <xf numFmtId="0" fontId="5" fillId="0" borderId="25" xfId="0" applyFont="1" applyBorder="1" applyAlignment="1">
      <alignment horizontal="center" wrapText="1"/>
    </xf>
    <xf numFmtId="2" fontId="5" fillId="0" borderId="25" xfId="0" applyNumberFormat="1" applyFont="1" applyBorder="1" applyAlignment="1">
      <alignment wrapText="1"/>
    </xf>
    <xf numFmtId="0" fontId="6" fillId="0" borderId="25" xfId="0" applyFont="1" applyBorder="1" applyAlignment="1">
      <alignment/>
    </xf>
    <xf numFmtId="2" fontId="6" fillId="0" borderId="25" xfId="0" applyNumberFormat="1" applyFont="1" applyBorder="1" applyAlignment="1">
      <alignment horizontal="center"/>
    </xf>
    <xf numFmtId="2" fontId="5" fillId="0" borderId="25" xfId="0" applyNumberFormat="1" applyFont="1" applyFill="1" applyBorder="1" applyAlignment="1">
      <alignment wrapText="1"/>
    </xf>
    <xf numFmtId="0" fontId="0" fillId="0" borderId="25" xfId="0" applyBorder="1" applyAlignment="1">
      <alignment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24" borderId="13" xfId="0" applyFont="1" applyFill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2" fontId="8" fillId="24" borderId="0" xfId="0" applyNumberFormat="1" applyFont="1" applyFill="1" applyAlignment="1">
      <alignment horizontal="center"/>
    </xf>
    <xf numFmtId="0" fontId="1" fillId="24" borderId="0" xfId="0" applyFont="1" applyFill="1" applyBorder="1" applyAlignment="1">
      <alignment wrapText="1"/>
    </xf>
    <xf numFmtId="0" fontId="4" fillId="0" borderId="0" xfId="0" applyFont="1" applyBorder="1" applyAlignment="1">
      <alignment horizontal="center"/>
    </xf>
    <xf numFmtId="0" fontId="0" fillId="0" borderId="27" xfId="0" applyBorder="1" applyAlignment="1">
      <alignment/>
    </xf>
    <xf numFmtId="2" fontId="5" fillId="0" borderId="17" xfId="0" applyNumberFormat="1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6" fillId="0" borderId="17" xfId="0" applyFont="1" applyBorder="1" applyAlignment="1">
      <alignment/>
    </xf>
    <xf numFmtId="2" fontId="5" fillId="0" borderId="17" xfId="0" applyNumberFormat="1" applyFont="1" applyFill="1" applyBorder="1" applyAlignment="1">
      <alignment wrapText="1"/>
    </xf>
    <xf numFmtId="2" fontId="8" fillId="0" borderId="18" xfId="0" applyNumberFormat="1" applyFont="1" applyBorder="1" applyAlignment="1">
      <alignment horizontal="center"/>
    </xf>
    <xf numFmtId="0" fontId="5" fillId="24" borderId="28" xfId="0" applyFont="1" applyFill="1" applyBorder="1" applyAlignment="1">
      <alignment wrapText="1"/>
    </xf>
    <xf numFmtId="2" fontId="0" fillId="0" borderId="0" xfId="0" applyNumberFormat="1" applyAlignment="1">
      <alignment horizontal="center"/>
    </xf>
    <xf numFmtId="0" fontId="7" fillId="0" borderId="29" xfId="0" applyFont="1" applyBorder="1" applyAlignment="1">
      <alignment horizontal="center" wrapText="1"/>
    </xf>
    <xf numFmtId="0" fontId="3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32" xfId="0" applyFont="1" applyBorder="1" applyAlignment="1">
      <alignment horizontal="center" wrapText="1"/>
    </xf>
    <xf numFmtId="0" fontId="9" fillId="0" borderId="29" xfId="0" applyFont="1" applyBorder="1" applyAlignment="1">
      <alignment/>
    </xf>
    <xf numFmtId="0" fontId="5" fillId="24" borderId="33" xfId="0" applyFont="1" applyFill="1" applyBorder="1" applyAlignment="1">
      <alignment wrapText="1"/>
    </xf>
    <xf numFmtId="0" fontId="10" fillId="24" borderId="13" xfId="0" applyFont="1" applyFill="1" applyBorder="1" applyAlignment="1">
      <alignment wrapText="1"/>
    </xf>
    <xf numFmtId="2" fontId="13" fillId="24" borderId="0" xfId="0" applyNumberFormat="1" applyFont="1" applyFill="1" applyBorder="1" applyAlignment="1">
      <alignment horizontal="center" wrapText="1"/>
    </xf>
    <xf numFmtId="2" fontId="14" fillId="24" borderId="0" xfId="0" applyNumberFormat="1" applyFont="1" applyFill="1" applyBorder="1" applyAlignment="1">
      <alignment horizontal="center"/>
    </xf>
    <xf numFmtId="2" fontId="15" fillId="24" borderId="0" xfId="0" applyNumberFormat="1" applyFont="1" applyFill="1" applyBorder="1" applyAlignment="1">
      <alignment horizontal="center" wrapText="1"/>
    </xf>
    <xf numFmtId="2" fontId="14" fillId="24" borderId="0" xfId="0" applyNumberFormat="1" applyFont="1" applyFill="1" applyAlignment="1">
      <alignment horizontal="center"/>
    </xf>
    <xf numFmtId="0" fontId="16" fillId="24" borderId="0" xfId="0" applyFont="1" applyFill="1" applyBorder="1" applyAlignment="1">
      <alignment wrapText="1"/>
    </xf>
    <xf numFmtId="0" fontId="9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2" fontId="6" fillId="0" borderId="22" xfId="0" applyNumberFormat="1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22" xfId="0" applyFont="1" applyBorder="1" applyAlignment="1">
      <alignment horizontal="justify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2" fontId="6" fillId="0" borderId="12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justify" wrapText="1"/>
    </xf>
    <xf numFmtId="2" fontId="6" fillId="0" borderId="10" xfId="0" applyNumberFormat="1" applyFont="1" applyBorder="1" applyAlignment="1">
      <alignment horizontal="justify" wrapText="1"/>
    </xf>
    <xf numFmtId="0" fontId="6" fillId="0" borderId="10" xfId="0" applyFont="1" applyBorder="1" applyAlignment="1">
      <alignment wrapText="1"/>
    </xf>
    <xf numFmtId="2" fontId="6" fillId="0" borderId="10" xfId="0" applyNumberFormat="1" applyFont="1" applyBorder="1" applyAlignment="1">
      <alignment wrapText="1"/>
    </xf>
    <xf numFmtId="2" fontId="6" fillId="0" borderId="25" xfId="0" applyNumberFormat="1" applyFont="1" applyBorder="1" applyAlignment="1">
      <alignment horizontal="center" wrapText="1"/>
    </xf>
    <xf numFmtId="0" fontId="6" fillId="0" borderId="25" xfId="0" applyFont="1" applyBorder="1" applyAlignment="1">
      <alignment wrapText="1"/>
    </xf>
    <xf numFmtId="2" fontId="6" fillId="0" borderId="25" xfId="0" applyNumberFormat="1" applyFont="1" applyBorder="1" applyAlignment="1">
      <alignment wrapText="1"/>
    </xf>
    <xf numFmtId="2" fontId="6" fillId="24" borderId="23" xfId="0" applyNumberFormat="1" applyFont="1" applyFill="1" applyBorder="1" applyAlignment="1">
      <alignment horizontal="center" wrapText="1"/>
    </xf>
    <xf numFmtId="2" fontId="6" fillId="24" borderId="16" xfId="0" applyNumberFormat="1" applyFont="1" applyFill="1" applyBorder="1" applyAlignment="1">
      <alignment horizontal="center" wrapText="1"/>
    </xf>
    <xf numFmtId="2" fontId="6" fillId="0" borderId="16" xfId="0" applyNumberFormat="1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2" fontId="6" fillId="0" borderId="10" xfId="0" applyNumberFormat="1" applyFont="1" applyFill="1" applyBorder="1" applyAlignment="1">
      <alignment wrapText="1"/>
    </xf>
    <xf numFmtId="2" fontId="6" fillId="0" borderId="25" xfId="0" applyNumberFormat="1" applyFont="1" applyFill="1" applyBorder="1" applyAlignment="1">
      <alignment wrapText="1"/>
    </xf>
    <xf numFmtId="2" fontId="14" fillId="24" borderId="0" xfId="0" applyNumberFormat="1" applyFont="1" applyFill="1" applyBorder="1" applyAlignment="1">
      <alignment horizontal="center" wrapText="1"/>
    </xf>
    <xf numFmtId="2" fontId="17" fillId="24" borderId="0" xfId="0" applyNumberFormat="1" applyFont="1" applyFill="1" applyBorder="1" applyAlignment="1">
      <alignment horizontal="center" wrapText="1"/>
    </xf>
    <xf numFmtId="2" fontId="0" fillId="0" borderId="10" xfId="0" applyNumberFormat="1" applyBorder="1" applyAlignment="1">
      <alignment horizontal="center"/>
    </xf>
    <xf numFmtId="2" fontId="6" fillId="24" borderId="10" xfId="0" applyNumberFormat="1" applyFont="1" applyFill="1" applyBorder="1" applyAlignment="1">
      <alignment horizontal="center" wrapText="1"/>
    </xf>
    <xf numFmtId="0" fontId="6" fillId="24" borderId="13" xfId="0" applyFont="1" applyFill="1" applyBorder="1" applyAlignment="1">
      <alignment horizontal="center" wrapText="1"/>
    </xf>
    <xf numFmtId="2" fontId="8" fillId="24" borderId="31" xfId="0" applyNumberFormat="1" applyFont="1" applyFill="1" applyBorder="1" applyAlignment="1">
      <alignment horizontal="center" wrapText="1"/>
    </xf>
    <xf numFmtId="0" fontId="3" fillId="24" borderId="34" xfId="0" applyFont="1" applyFill="1" applyBorder="1" applyAlignment="1">
      <alignment horizontal="center" wrapText="1"/>
    </xf>
    <xf numFmtId="0" fontId="18" fillId="24" borderId="0" xfId="0" applyFont="1" applyFill="1" applyBorder="1" applyAlignment="1">
      <alignment wrapText="1"/>
    </xf>
    <xf numFmtId="0" fontId="3" fillId="24" borderId="14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8" fillId="0" borderId="29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30" xfId="0" applyFont="1" applyFill="1" applyBorder="1" applyAlignment="1">
      <alignment horizontal="center" wrapText="1"/>
    </xf>
    <xf numFmtId="0" fontId="3" fillId="0" borderId="35" xfId="0" applyFont="1" applyBorder="1" applyAlignment="1">
      <alignment horizontal="center"/>
    </xf>
    <xf numFmtId="2" fontId="8" fillId="24" borderId="36" xfId="0" applyNumberFormat="1" applyFont="1" applyFill="1" applyBorder="1" applyAlignment="1">
      <alignment horizontal="center" wrapText="1"/>
    </xf>
    <xf numFmtId="2" fontId="8" fillId="24" borderId="13" xfId="0" applyNumberFormat="1" applyFont="1" applyFill="1" applyBorder="1" applyAlignment="1">
      <alignment horizontal="center" wrapText="1"/>
    </xf>
    <xf numFmtId="2" fontId="8" fillId="24" borderId="28" xfId="0" applyNumberFormat="1" applyFont="1" applyFill="1" applyBorder="1" applyAlignment="1">
      <alignment horizontal="center" wrapText="1"/>
    </xf>
    <xf numFmtId="2" fontId="8" fillId="24" borderId="13" xfId="0" applyNumberFormat="1" applyFont="1" applyFill="1" applyBorder="1" applyAlignment="1">
      <alignment horizontal="center"/>
    </xf>
    <xf numFmtId="2" fontId="0" fillId="24" borderId="0" xfId="0" applyNumberFormat="1" applyFont="1" applyFill="1" applyBorder="1" applyAlignment="1">
      <alignment horizontal="center" wrapText="1"/>
    </xf>
    <xf numFmtId="2" fontId="8" fillId="24" borderId="0" xfId="0" applyNumberFormat="1" applyFont="1" applyFill="1" applyAlignment="1">
      <alignment horizontal="center"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1" xfId="0" applyFont="1" applyBorder="1" applyAlignment="1">
      <alignment/>
    </xf>
    <xf numFmtId="2" fontId="8" fillId="0" borderId="19" xfId="0" applyNumberFormat="1" applyFont="1" applyBorder="1" applyAlignment="1">
      <alignment horizontal="center"/>
    </xf>
    <xf numFmtId="0" fontId="0" fillId="0" borderId="27" xfId="0" applyFont="1" applyBorder="1" applyAlignment="1">
      <alignment/>
    </xf>
    <xf numFmtId="0" fontId="3" fillId="0" borderId="29" xfId="0" applyFont="1" applyBorder="1" applyAlignment="1">
      <alignment horizontal="center" wrapText="1"/>
    </xf>
    <xf numFmtId="0" fontId="0" fillId="0" borderId="23" xfId="0" applyFont="1" applyBorder="1" applyAlignment="1">
      <alignment horizontal="justify" wrapText="1"/>
    </xf>
    <xf numFmtId="0" fontId="0" fillId="0" borderId="22" xfId="0" applyFont="1" applyBorder="1" applyAlignment="1">
      <alignment horizontal="justify" wrapText="1"/>
    </xf>
    <xf numFmtId="2" fontId="0" fillId="24" borderId="23" xfId="0" applyNumberFormat="1" applyFont="1" applyFill="1" applyBorder="1" applyAlignment="1">
      <alignment horizontal="center" wrapText="1"/>
    </xf>
    <xf numFmtId="2" fontId="0" fillId="0" borderId="22" xfId="0" applyNumberFormat="1" applyFont="1" applyBorder="1" applyAlignment="1">
      <alignment horizontal="center" wrapText="1"/>
    </xf>
    <xf numFmtId="2" fontId="0" fillId="0" borderId="22" xfId="0" applyNumberFormat="1" applyFont="1" applyBorder="1" applyAlignment="1">
      <alignment horizontal="center"/>
    </xf>
    <xf numFmtId="2" fontId="0" fillId="0" borderId="22" xfId="0" applyNumberFormat="1" applyFont="1" applyBorder="1" applyAlignment="1">
      <alignment/>
    </xf>
    <xf numFmtId="2" fontId="3" fillId="0" borderId="18" xfId="0" applyNumberFormat="1" applyFont="1" applyBorder="1" applyAlignment="1">
      <alignment horizontal="center"/>
    </xf>
    <xf numFmtId="0" fontId="0" fillId="0" borderId="16" xfId="0" applyFont="1" applyBorder="1" applyAlignment="1">
      <alignment horizontal="justify" wrapText="1"/>
    </xf>
    <xf numFmtId="0" fontId="0" fillId="0" borderId="10" xfId="0" applyFont="1" applyBorder="1" applyAlignment="1">
      <alignment horizontal="justify" wrapText="1"/>
    </xf>
    <xf numFmtId="2" fontId="0" fillId="24" borderId="16" xfId="0" applyNumberFormat="1" applyFont="1" applyFill="1" applyBorder="1" applyAlignment="1">
      <alignment horizontal="center" wrapText="1"/>
    </xf>
    <xf numFmtId="2" fontId="0" fillId="0" borderId="10" xfId="0" applyNumberFormat="1" applyFont="1" applyBorder="1" applyAlignment="1">
      <alignment horizontal="center" wrapText="1"/>
    </xf>
    <xf numFmtId="2" fontId="0" fillId="0" borderId="12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2" fontId="3" fillId="0" borderId="19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justify" wrapText="1"/>
    </xf>
    <xf numFmtId="2" fontId="0" fillId="0" borderId="16" xfId="0" applyNumberFormat="1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Font="1" applyFill="1" applyBorder="1" applyAlignment="1">
      <alignment wrapText="1"/>
    </xf>
    <xf numFmtId="0" fontId="0" fillId="0" borderId="32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0" fillId="0" borderId="25" xfId="0" applyFont="1" applyBorder="1" applyAlignment="1">
      <alignment wrapText="1"/>
    </xf>
    <xf numFmtId="2" fontId="0" fillId="0" borderId="25" xfId="0" applyNumberFormat="1" applyFont="1" applyBorder="1" applyAlignment="1">
      <alignment horizontal="center" wrapText="1"/>
    </xf>
    <xf numFmtId="2" fontId="0" fillId="0" borderId="25" xfId="0" applyNumberFormat="1" applyFont="1" applyBorder="1" applyAlignment="1">
      <alignment wrapText="1"/>
    </xf>
    <xf numFmtId="2" fontId="0" fillId="0" borderId="25" xfId="0" applyNumberFormat="1" applyFont="1" applyBorder="1" applyAlignment="1">
      <alignment horizontal="center"/>
    </xf>
    <xf numFmtId="2" fontId="0" fillId="0" borderId="25" xfId="0" applyNumberFormat="1" applyFont="1" applyFill="1" applyBorder="1" applyAlignment="1">
      <alignment wrapText="1"/>
    </xf>
    <xf numFmtId="2" fontId="3" fillId="24" borderId="13" xfId="0" applyNumberFormat="1" applyFont="1" applyFill="1" applyBorder="1" applyAlignment="1">
      <alignment horizontal="center"/>
    </xf>
    <xf numFmtId="0" fontId="0" fillId="24" borderId="0" xfId="0" applyFont="1" applyFill="1" applyBorder="1" applyAlignment="1">
      <alignment wrapText="1"/>
    </xf>
    <xf numFmtId="2" fontId="3" fillId="24" borderId="0" xfId="0" applyNumberFormat="1" applyFont="1" applyFill="1" applyAlignment="1">
      <alignment horizontal="center"/>
    </xf>
    <xf numFmtId="0" fontId="0" fillId="0" borderId="22" xfId="0" applyFont="1" applyBorder="1" applyAlignment="1">
      <alignment horizontal="center" wrapText="1"/>
    </xf>
    <xf numFmtId="2" fontId="0" fillId="0" borderId="11" xfId="0" applyNumberFormat="1" applyFont="1" applyBorder="1" applyAlignment="1">
      <alignment horizontal="center"/>
    </xf>
    <xf numFmtId="0" fontId="5" fillId="24" borderId="13" xfId="0" applyFont="1" applyFill="1" applyBorder="1" applyAlignment="1">
      <alignment wrapText="1"/>
    </xf>
    <xf numFmtId="2" fontId="8" fillId="24" borderId="31" xfId="0" applyNumberFormat="1" applyFont="1" applyFill="1" applyBorder="1" applyAlignment="1">
      <alignment horizontal="center" wrapText="1"/>
    </xf>
    <xf numFmtId="2" fontId="8" fillId="24" borderId="13" xfId="0" applyNumberFormat="1" applyFont="1" applyFill="1" applyBorder="1" applyAlignment="1">
      <alignment horizontal="center"/>
    </xf>
    <xf numFmtId="0" fontId="0" fillId="24" borderId="0" xfId="0" applyFill="1" applyAlignment="1">
      <alignment/>
    </xf>
    <xf numFmtId="0" fontId="5" fillId="24" borderId="33" xfId="0" applyFont="1" applyFill="1" applyBorder="1" applyAlignment="1">
      <alignment wrapText="1"/>
    </xf>
    <xf numFmtId="0" fontId="8" fillId="24" borderId="29" xfId="0" applyFont="1" applyFill="1" applyBorder="1" applyAlignment="1">
      <alignment horizontal="center" wrapText="1"/>
    </xf>
    <xf numFmtId="0" fontId="3" fillId="24" borderId="30" xfId="0" applyFont="1" applyFill="1" applyBorder="1" applyAlignment="1">
      <alignment horizontal="center" wrapText="1"/>
    </xf>
    <xf numFmtId="0" fontId="3" fillId="24" borderId="30" xfId="0" applyFont="1" applyFill="1" applyBorder="1" applyAlignment="1">
      <alignment horizontal="center"/>
    </xf>
    <xf numFmtId="0" fontId="3" fillId="24" borderId="35" xfId="0" applyFont="1" applyFill="1" applyBorder="1" applyAlignment="1">
      <alignment horizontal="center"/>
    </xf>
    <xf numFmtId="2" fontId="12" fillId="24" borderId="0" xfId="0" applyNumberFormat="1" applyFont="1" applyFill="1" applyAlignment="1">
      <alignment horizontal="center"/>
    </xf>
    <xf numFmtId="2" fontId="8" fillId="24" borderId="13" xfId="0" applyNumberFormat="1" applyFont="1" applyFill="1" applyBorder="1" applyAlignment="1">
      <alignment horizontal="center" wrapText="1"/>
    </xf>
    <xf numFmtId="2" fontId="8" fillId="24" borderId="28" xfId="0" applyNumberFormat="1" applyFont="1" applyFill="1" applyBorder="1" applyAlignment="1">
      <alignment horizontal="center" wrapText="1"/>
    </xf>
    <xf numFmtId="2" fontId="14" fillId="24" borderId="0" xfId="0" applyNumberFormat="1" applyFont="1" applyFill="1" applyBorder="1" applyAlignment="1">
      <alignment horizontal="center" wrapText="1"/>
    </xf>
    <xf numFmtId="2" fontId="14" fillId="24" borderId="0" xfId="0" applyNumberFormat="1" applyFont="1" applyFill="1" applyBorder="1" applyAlignment="1">
      <alignment horizontal="center"/>
    </xf>
    <xf numFmtId="2" fontId="17" fillId="24" borderId="0" xfId="0" applyNumberFormat="1" applyFont="1" applyFill="1" applyBorder="1" applyAlignment="1">
      <alignment horizontal="center" wrapText="1"/>
    </xf>
    <xf numFmtId="2" fontId="14" fillId="24" borderId="0" xfId="0" applyNumberFormat="1" applyFont="1" applyFill="1" applyAlignment="1">
      <alignment horizontal="center"/>
    </xf>
    <xf numFmtId="0" fontId="5" fillId="0" borderId="37" xfId="0" applyFont="1" applyBorder="1" applyAlignment="1">
      <alignment horizontal="center" wrapText="1"/>
    </xf>
    <xf numFmtId="0" fontId="5" fillId="0" borderId="38" xfId="0" applyFont="1" applyBorder="1" applyAlignment="1">
      <alignment horizontal="center" wrapText="1"/>
    </xf>
    <xf numFmtId="2" fontId="6" fillId="0" borderId="39" xfId="0" applyNumberFormat="1" applyFont="1" applyBorder="1" applyAlignment="1">
      <alignment horizontal="center" wrapText="1"/>
    </xf>
    <xf numFmtId="2" fontId="6" fillId="0" borderId="37" xfId="0" applyNumberFormat="1" applyFont="1" applyBorder="1" applyAlignment="1">
      <alignment horizontal="center" wrapText="1"/>
    </xf>
    <xf numFmtId="2" fontId="8" fillId="24" borderId="29" xfId="0" applyNumberFormat="1" applyFont="1" applyFill="1" applyBorder="1" applyAlignment="1">
      <alignment horizontal="center" wrapText="1"/>
    </xf>
    <xf numFmtId="0" fontId="6" fillId="0" borderId="23" xfId="0" applyFont="1" applyBorder="1" applyAlignment="1">
      <alignment horizontal="justify" wrapText="1"/>
    </xf>
    <xf numFmtId="0" fontId="6" fillId="0" borderId="16" xfId="0" applyFont="1" applyBorder="1" applyAlignment="1">
      <alignment horizontal="justify" wrapText="1"/>
    </xf>
    <xf numFmtId="0" fontId="6" fillId="0" borderId="16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2" fontId="0" fillId="0" borderId="24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6" fillId="0" borderId="17" xfId="0" applyNumberFormat="1" applyFont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40" xfId="0" applyBorder="1" applyAlignment="1">
      <alignment/>
    </xf>
    <xf numFmtId="2" fontId="8" fillId="24" borderId="0" xfId="0" applyNumberFormat="1" applyFont="1" applyFill="1" applyBorder="1" applyAlignment="1">
      <alignment horizontal="center"/>
    </xf>
    <xf numFmtId="0" fontId="8" fillId="0" borderId="13" xfId="0" applyFont="1" applyBorder="1" applyAlignment="1">
      <alignment horizontal="center" wrapText="1"/>
    </xf>
    <xf numFmtId="0" fontId="3" fillId="24" borderId="31" xfId="0" applyFont="1" applyFill="1" applyBorder="1" applyAlignment="1">
      <alignment horizontal="center" wrapText="1"/>
    </xf>
    <xf numFmtId="2" fontId="6" fillId="24" borderId="0" xfId="0" applyNumberFormat="1" applyFont="1" applyFill="1" applyAlignment="1">
      <alignment horizontal="center"/>
    </xf>
    <xf numFmtId="0" fontId="6" fillId="0" borderId="22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2" fontId="6" fillId="24" borderId="37" xfId="0" applyNumberFormat="1" applyFont="1" applyFill="1" applyBorder="1" applyAlignment="1">
      <alignment horizontal="center" wrapText="1"/>
    </xf>
    <xf numFmtId="2" fontId="6" fillId="0" borderId="42" xfId="0" applyNumberFormat="1" applyFont="1" applyBorder="1" applyAlignment="1">
      <alignment horizontal="center" wrapText="1"/>
    </xf>
    <xf numFmtId="2" fontId="6" fillId="24" borderId="12" xfId="0" applyNumberFormat="1" applyFont="1" applyFill="1" applyBorder="1" applyAlignment="1">
      <alignment horizontal="center" wrapText="1"/>
    </xf>
    <xf numFmtId="0" fontId="6" fillId="0" borderId="12" xfId="0" applyFont="1" applyBorder="1" applyAlignment="1">
      <alignment horizontal="justify" wrapText="1"/>
    </xf>
    <xf numFmtId="0" fontId="0" fillId="0" borderId="12" xfId="0" applyBorder="1" applyAlignment="1">
      <alignment/>
    </xf>
    <xf numFmtId="0" fontId="0" fillId="0" borderId="43" xfId="0" applyBorder="1" applyAlignment="1">
      <alignment/>
    </xf>
    <xf numFmtId="0" fontId="9" fillId="0" borderId="21" xfId="0" applyFont="1" applyBorder="1" applyAlignment="1">
      <alignment/>
    </xf>
    <xf numFmtId="2" fontId="11" fillId="24" borderId="29" xfId="0" applyNumberFormat="1" applyFont="1" applyFill="1" applyBorder="1" applyAlignment="1">
      <alignment horizontal="center"/>
    </xf>
    <xf numFmtId="2" fontId="8" fillId="0" borderId="20" xfId="0" applyNumberFormat="1" applyFont="1" applyBorder="1" applyAlignment="1">
      <alignment horizontal="center"/>
    </xf>
    <xf numFmtId="0" fontId="6" fillId="0" borderId="27" xfId="0" applyFont="1" applyBorder="1" applyAlignment="1">
      <alignment/>
    </xf>
    <xf numFmtId="0" fontId="6" fillId="0" borderId="23" xfId="0" applyFont="1" applyBorder="1" applyAlignment="1">
      <alignment horizontal="center" wrapText="1"/>
    </xf>
    <xf numFmtId="2" fontId="12" fillId="24" borderId="13" xfId="0" applyNumberFormat="1" applyFont="1" applyFill="1" applyBorder="1" applyAlignment="1">
      <alignment horizontal="center" wrapText="1"/>
    </xf>
    <xf numFmtId="2" fontId="12" fillId="24" borderId="13" xfId="0" applyNumberFormat="1" applyFont="1" applyFill="1" applyBorder="1" applyAlignment="1">
      <alignment horizontal="center"/>
    </xf>
    <xf numFmtId="2" fontId="6" fillId="0" borderId="38" xfId="0" applyNumberFormat="1" applyFont="1" applyBorder="1" applyAlignment="1">
      <alignment horizontal="center" wrapText="1"/>
    </xf>
    <xf numFmtId="0" fontId="9" fillId="0" borderId="13" xfId="0" applyFont="1" applyBorder="1" applyAlignment="1">
      <alignment/>
    </xf>
    <xf numFmtId="0" fontId="8" fillId="0" borderId="21" xfId="0" applyFont="1" applyBorder="1" applyAlignment="1">
      <alignment horizontal="center" wrapText="1"/>
    </xf>
    <xf numFmtId="2" fontId="12" fillId="24" borderId="13" xfId="0" applyNumberFormat="1" applyFont="1" applyFill="1" applyBorder="1" applyAlignment="1">
      <alignment horizontal="center" wrapText="1"/>
    </xf>
    <xf numFmtId="2" fontId="12" fillId="24" borderId="36" xfId="0" applyNumberFormat="1" applyFont="1" applyFill="1" applyBorder="1" applyAlignment="1">
      <alignment horizontal="center" wrapText="1"/>
    </xf>
    <xf numFmtId="2" fontId="12" fillId="24" borderId="31" xfId="0" applyNumberFormat="1" applyFont="1" applyFill="1" applyBorder="1" applyAlignment="1">
      <alignment horizontal="center" wrapText="1"/>
    </xf>
    <xf numFmtId="2" fontId="12" fillId="24" borderId="13" xfId="0" applyNumberFormat="1" applyFont="1" applyFill="1" applyBorder="1" applyAlignment="1">
      <alignment horizontal="center"/>
    </xf>
    <xf numFmtId="0" fontId="3" fillId="24" borderId="29" xfId="0" applyFont="1" applyFill="1" applyBorder="1" applyAlignment="1">
      <alignment horizontal="center" wrapText="1"/>
    </xf>
    <xf numFmtId="0" fontId="3" fillId="24" borderId="34" xfId="0" applyFont="1" applyFill="1" applyBorder="1" applyAlignment="1">
      <alignment horizontal="center" wrapText="1"/>
    </xf>
    <xf numFmtId="2" fontId="3" fillId="24" borderId="13" xfId="0" applyNumberFormat="1" applyFont="1" applyFill="1" applyBorder="1" applyAlignment="1">
      <alignment horizontal="center"/>
    </xf>
    <xf numFmtId="2" fontId="6" fillId="0" borderId="24" xfId="0" applyNumberFormat="1" applyFont="1" applyBorder="1" applyAlignment="1">
      <alignment horizontal="center" wrapText="1"/>
    </xf>
    <xf numFmtId="2" fontId="6" fillId="0" borderId="11" xfId="0" applyNumberFormat="1" applyFont="1" applyBorder="1" applyAlignment="1">
      <alignment horizontal="center" wrapText="1"/>
    </xf>
    <xf numFmtId="2" fontId="6" fillId="0" borderId="27" xfId="0" applyNumberFormat="1" applyFont="1" applyBorder="1" applyAlignment="1">
      <alignment horizontal="center" wrapText="1"/>
    </xf>
    <xf numFmtId="0" fontId="0" fillId="24" borderId="0" xfId="0" applyFill="1" applyAlignment="1">
      <alignment horizontal="center"/>
    </xf>
    <xf numFmtId="0" fontId="0" fillId="24" borderId="13" xfId="0" applyFont="1" applyFill="1" applyBorder="1" applyAlignment="1">
      <alignment horizontal="center" wrapText="1"/>
    </xf>
    <xf numFmtId="2" fontId="3" fillId="24" borderId="36" xfId="0" applyNumberFormat="1" applyFont="1" applyFill="1" applyBorder="1" applyAlignment="1">
      <alignment horizontal="center" wrapText="1"/>
    </xf>
    <xf numFmtId="2" fontId="3" fillId="24" borderId="31" xfId="0" applyNumberFormat="1" applyFont="1" applyFill="1" applyBorder="1" applyAlignment="1">
      <alignment horizontal="center" wrapText="1"/>
    </xf>
    <xf numFmtId="0" fontId="16" fillId="24" borderId="0" xfId="0" applyFont="1" applyFill="1" applyBorder="1" applyAlignment="1">
      <alignment wrapText="1"/>
    </xf>
    <xf numFmtId="0" fontId="0" fillId="24" borderId="0" xfId="0" applyFont="1" applyFill="1" applyBorder="1" applyAlignment="1">
      <alignment wrapText="1"/>
    </xf>
    <xf numFmtId="2" fontId="0" fillId="24" borderId="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2" fontId="0" fillId="0" borderId="27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0" fillId="24" borderId="16" xfId="0" applyNumberFormat="1" applyFont="1" applyFill="1" applyBorder="1" applyAlignment="1">
      <alignment horizontal="center" wrapText="1"/>
    </xf>
    <xf numFmtId="0" fontId="3" fillId="24" borderId="13" xfId="0" applyFont="1" applyFill="1" applyBorder="1" applyAlignment="1">
      <alignment horizontal="center" wrapText="1"/>
    </xf>
    <xf numFmtId="2" fontId="6" fillId="24" borderId="12" xfId="0" applyNumberFormat="1" applyFont="1" applyFill="1" applyBorder="1" applyAlignment="1">
      <alignment horizontal="center" wrapText="1"/>
    </xf>
    <xf numFmtId="2" fontId="0" fillId="24" borderId="0" xfId="0" applyNumberFormat="1" applyFill="1" applyAlignment="1">
      <alignment horizontal="center"/>
    </xf>
    <xf numFmtId="0" fontId="9" fillId="24" borderId="13" xfId="0" applyFont="1" applyFill="1" applyBorder="1" applyAlignment="1">
      <alignment/>
    </xf>
    <xf numFmtId="2" fontId="0" fillId="0" borderId="24" xfId="0" applyNumberFormat="1" applyBorder="1" applyAlignment="1">
      <alignment horizontal="center"/>
    </xf>
    <xf numFmtId="2" fontId="6" fillId="24" borderId="16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2" fontId="3" fillId="24" borderId="13" xfId="0" applyNumberFormat="1" applyFont="1" applyFill="1" applyBorder="1" applyAlignment="1">
      <alignment horizontal="center" wrapText="1"/>
    </xf>
    <xf numFmtId="2" fontId="3" fillId="24" borderId="28" xfId="0" applyNumberFormat="1" applyFont="1" applyFill="1" applyBorder="1" applyAlignment="1">
      <alignment horizontal="center" wrapText="1"/>
    </xf>
    <xf numFmtId="2" fontId="0" fillId="24" borderId="0" xfId="0" applyNumberFormat="1" applyFont="1" applyFill="1" applyBorder="1" applyAlignment="1">
      <alignment horizontal="center"/>
    </xf>
    <xf numFmtId="2" fontId="0" fillId="24" borderId="0" xfId="0" applyNumberFormat="1" applyFont="1" applyFill="1" applyAlignment="1">
      <alignment horizontal="center"/>
    </xf>
    <xf numFmtId="0" fontId="5" fillId="24" borderId="22" xfId="0" applyFont="1" applyFill="1" applyBorder="1" applyAlignment="1">
      <alignment horizontal="justify" wrapText="1"/>
    </xf>
    <xf numFmtId="2" fontId="6" fillId="24" borderId="23" xfId="0" applyNumberFormat="1" applyFont="1" applyFill="1" applyBorder="1" applyAlignment="1">
      <alignment horizontal="center" wrapText="1"/>
    </xf>
    <xf numFmtId="2" fontId="5" fillId="24" borderId="22" xfId="0" applyNumberFormat="1" applyFont="1" applyFill="1" applyBorder="1" applyAlignment="1">
      <alignment horizontal="center" wrapText="1"/>
    </xf>
    <xf numFmtId="2" fontId="6" fillId="24" borderId="22" xfId="0" applyNumberFormat="1" applyFont="1" applyFill="1" applyBorder="1" applyAlignment="1">
      <alignment horizontal="center" wrapText="1"/>
    </xf>
    <xf numFmtId="0" fontId="6" fillId="24" borderId="22" xfId="0" applyFont="1" applyFill="1" applyBorder="1" applyAlignment="1">
      <alignment/>
    </xf>
    <xf numFmtId="2" fontId="6" fillId="24" borderId="22" xfId="0" applyNumberFormat="1" applyFont="1" applyFill="1" applyBorder="1" applyAlignment="1">
      <alignment horizontal="center"/>
    </xf>
    <xf numFmtId="0" fontId="0" fillId="24" borderId="22" xfId="0" applyFill="1" applyBorder="1" applyAlignment="1">
      <alignment/>
    </xf>
    <xf numFmtId="0" fontId="0" fillId="24" borderId="24" xfId="0" applyFill="1" applyBorder="1" applyAlignment="1">
      <alignment/>
    </xf>
    <xf numFmtId="0" fontId="5" fillId="24" borderId="10" xfId="0" applyFont="1" applyFill="1" applyBorder="1" applyAlignment="1">
      <alignment horizontal="justify" wrapText="1"/>
    </xf>
    <xf numFmtId="2" fontId="5" fillId="24" borderId="10" xfId="0" applyNumberFormat="1" applyFont="1" applyFill="1" applyBorder="1" applyAlignment="1">
      <alignment horizontal="center" wrapText="1"/>
    </xf>
    <xf numFmtId="0" fontId="6" fillId="24" borderId="10" xfId="0" applyFont="1" applyFill="1" applyBorder="1" applyAlignment="1">
      <alignment/>
    </xf>
    <xf numFmtId="2" fontId="6" fillId="24" borderId="10" xfId="0" applyNumberFormat="1" applyFont="1" applyFill="1" applyBorder="1" applyAlignment="1">
      <alignment horizontal="center"/>
    </xf>
    <xf numFmtId="2" fontId="2" fillId="24" borderId="10" xfId="0" applyNumberFormat="1" applyFont="1" applyFill="1" applyBorder="1" applyAlignment="1">
      <alignment horizontal="center"/>
    </xf>
    <xf numFmtId="2" fontId="6" fillId="24" borderId="10" xfId="0" applyNumberFormat="1" applyFont="1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2" fontId="0" fillId="24" borderId="10" xfId="0" applyNumberFormat="1" applyFill="1" applyBorder="1" applyAlignment="1">
      <alignment horizontal="center"/>
    </xf>
    <xf numFmtId="2" fontId="6" fillId="24" borderId="10" xfId="0" applyNumberFormat="1" applyFont="1" applyFill="1" applyBorder="1" applyAlignment="1">
      <alignment horizontal="center" wrapText="1"/>
    </xf>
    <xf numFmtId="2" fontId="5" fillId="24" borderId="10" xfId="0" applyNumberFormat="1" applyFont="1" applyFill="1" applyBorder="1" applyAlignment="1">
      <alignment horizontal="justify" wrapText="1"/>
    </xf>
    <xf numFmtId="2" fontId="0" fillId="24" borderId="11" xfId="0" applyNumberFormat="1" applyFill="1" applyBorder="1" applyAlignment="1">
      <alignment horizontal="center"/>
    </xf>
    <xf numFmtId="0" fontId="6" fillId="24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 wrapText="1"/>
    </xf>
    <xf numFmtId="0" fontId="6" fillId="24" borderId="10" xfId="0" applyFont="1" applyFill="1" applyBorder="1" applyAlignment="1">
      <alignment horizontal="center" wrapText="1"/>
    </xf>
    <xf numFmtId="0" fontId="6" fillId="24" borderId="10" xfId="0" applyFont="1" applyFill="1" applyBorder="1" applyAlignment="1">
      <alignment horizontal="justify" wrapText="1"/>
    </xf>
    <xf numFmtId="0" fontId="5" fillId="24" borderId="10" xfId="0" applyFont="1" applyFill="1" applyBorder="1" applyAlignment="1">
      <alignment wrapText="1"/>
    </xf>
    <xf numFmtId="2" fontId="5" fillId="24" borderId="10" xfId="0" applyNumberFormat="1" applyFont="1" applyFill="1" applyBorder="1" applyAlignment="1">
      <alignment wrapText="1"/>
    </xf>
    <xf numFmtId="0" fontId="5" fillId="24" borderId="25" xfId="0" applyFont="1" applyFill="1" applyBorder="1" applyAlignment="1">
      <alignment horizontal="center" wrapText="1"/>
    </xf>
    <xf numFmtId="2" fontId="6" fillId="24" borderId="25" xfId="0" applyNumberFormat="1" applyFont="1" applyFill="1" applyBorder="1" applyAlignment="1">
      <alignment horizontal="center" wrapText="1"/>
    </xf>
    <xf numFmtId="0" fontId="5" fillId="24" borderId="25" xfId="0" applyFont="1" applyFill="1" applyBorder="1" applyAlignment="1">
      <alignment wrapText="1"/>
    </xf>
    <xf numFmtId="2" fontId="5" fillId="24" borderId="25" xfId="0" applyNumberFormat="1" applyFont="1" applyFill="1" applyBorder="1" applyAlignment="1">
      <alignment horizontal="center" wrapText="1"/>
    </xf>
    <xf numFmtId="2" fontId="5" fillId="24" borderId="25" xfId="0" applyNumberFormat="1" applyFont="1" applyFill="1" applyBorder="1" applyAlignment="1">
      <alignment wrapText="1"/>
    </xf>
    <xf numFmtId="0" fontId="6" fillId="24" borderId="25" xfId="0" applyFont="1" applyFill="1" applyBorder="1" applyAlignment="1">
      <alignment/>
    </xf>
    <xf numFmtId="2" fontId="6" fillId="24" borderId="25" xfId="0" applyNumberFormat="1" applyFont="1" applyFill="1" applyBorder="1" applyAlignment="1">
      <alignment horizontal="center"/>
    </xf>
    <xf numFmtId="0" fontId="0" fillId="24" borderId="25" xfId="0" applyFill="1" applyBorder="1" applyAlignment="1">
      <alignment/>
    </xf>
    <xf numFmtId="0" fontId="0" fillId="24" borderId="27" xfId="0" applyFill="1" applyBorder="1" applyAlignment="1">
      <alignment/>
    </xf>
    <xf numFmtId="2" fontId="8" fillId="24" borderId="36" xfId="0" applyNumberFormat="1" applyFont="1" applyFill="1" applyBorder="1" applyAlignment="1">
      <alignment horizontal="center" wrapText="1"/>
    </xf>
    <xf numFmtId="2" fontId="17" fillId="24" borderId="0" xfId="0" applyNumberFormat="1" applyFont="1" applyFill="1" applyBorder="1" applyAlignment="1">
      <alignment horizontal="center"/>
    </xf>
    <xf numFmtId="2" fontId="17" fillId="24" borderId="0" xfId="0" applyNumberFormat="1" applyFont="1" applyFill="1" applyAlignment="1">
      <alignment horizontal="center"/>
    </xf>
    <xf numFmtId="0" fontId="6" fillId="24" borderId="22" xfId="0" applyFont="1" applyFill="1" applyBorder="1" applyAlignment="1">
      <alignment horizontal="justify" wrapText="1"/>
    </xf>
    <xf numFmtId="0" fontId="6" fillId="24" borderId="22" xfId="0" applyFont="1" applyFill="1" applyBorder="1" applyAlignment="1">
      <alignment horizontal="center" wrapText="1"/>
    </xf>
    <xf numFmtId="0" fontId="6" fillId="24" borderId="22" xfId="0" applyFont="1" applyFill="1" applyBorder="1" applyAlignment="1">
      <alignment horizontal="center"/>
    </xf>
    <xf numFmtId="0" fontId="0" fillId="24" borderId="22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24" borderId="11" xfId="0" applyFont="1" applyFill="1" applyBorder="1" applyAlignment="1">
      <alignment/>
    </xf>
    <xf numFmtId="2" fontId="0" fillId="24" borderId="11" xfId="0" applyNumberFormat="1" applyFont="1" applyFill="1" applyBorder="1" applyAlignment="1">
      <alignment horizontal="center"/>
    </xf>
    <xf numFmtId="2" fontId="6" fillId="24" borderId="10" xfId="0" applyNumberFormat="1" applyFont="1" applyFill="1" applyBorder="1" applyAlignment="1">
      <alignment horizontal="justify" wrapText="1"/>
    </xf>
    <xf numFmtId="0" fontId="6" fillId="24" borderId="10" xfId="0" applyFont="1" applyFill="1" applyBorder="1" applyAlignment="1">
      <alignment wrapText="1"/>
    </xf>
    <xf numFmtId="2" fontId="6" fillId="24" borderId="10" xfId="0" applyNumberFormat="1" applyFont="1" applyFill="1" applyBorder="1" applyAlignment="1">
      <alignment wrapText="1"/>
    </xf>
    <xf numFmtId="0" fontId="6" fillId="24" borderId="25" xfId="0" applyFont="1" applyFill="1" applyBorder="1" applyAlignment="1">
      <alignment wrapText="1"/>
    </xf>
    <xf numFmtId="2" fontId="6" fillId="24" borderId="25" xfId="0" applyNumberFormat="1" applyFont="1" applyFill="1" applyBorder="1" applyAlignment="1">
      <alignment wrapText="1"/>
    </xf>
    <xf numFmtId="0" fontId="0" fillId="24" borderId="25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2" fontId="6" fillId="24" borderId="0" xfId="0" applyNumberFormat="1" applyFont="1" applyFill="1" applyBorder="1" applyAlignment="1">
      <alignment horizontal="center" wrapText="1"/>
    </xf>
    <xf numFmtId="2" fontId="6" fillId="24" borderId="0" xfId="0" applyNumberFormat="1" applyFont="1" applyFill="1" applyBorder="1" applyAlignment="1">
      <alignment horizontal="center"/>
    </xf>
    <xf numFmtId="2" fontId="8" fillId="24" borderId="14" xfId="0" applyNumberFormat="1" applyFont="1" applyFill="1" applyBorder="1" applyAlignment="1">
      <alignment horizontal="center" wrapText="1"/>
    </xf>
    <xf numFmtId="2" fontId="8" fillId="24" borderId="15" xfId="0" applyNumberFormat="1" applyFont="1" applyFill="1" applyBorder="1" applyAlignment="1">
      <alignment horizontal="center" wrapText="1"/>
    </xf>
    <xf numFmtId="0" fontId="3" fillId="24" borderId="31" xfId="0" applyFont="1" applyFill="1" applyBorder="1" applyAlignment="1">
      <alignment horizontal="center" wrapText="1"/>
    </xf>
    <xf numFmtId="0" fontId="3" fillId="24" borderId="14" xfId="0" applyFont="1" applyFill="1" applyBorder="1" applyAlignment="1">
      <alignment horizontal="center" wrapText="1"/>
    </xf>
    <xf numFmtId="0" fontId="3" fillId="24" borderId="14" xfId="0" applyFont="1" applyFill="1" applyBorder="1" applyAlignment="1">
      <alignment horizontal="center"/>
    </xf>
    <xf numFmtId="0" fontId="3" fillId="24" borderId="41" xfId="0" applyFont="1" applyFill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2" fontId="17" fillId="0" borderId="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19" fillId="0" borderId="0" xfId="0" applyFont="1" applyBorder="1" applyAlignment="1">
      <alignment horizontal="center"/>
    </xf>
    <xf numFmtId="2" fontId="12" fillId="24" borderId="28" xfId="0" applyNumberFormat="1" applyFont="1" applyFill="1" applyBorder="1" applyAlignment="1">
      <alignment horizontal="center" wrapText="1"/>
    </xf>
    <xf numFmtId="2" fontId="10" fillId="24" borderId="29" xfId="0" applyNumberFormat="1" applyFont="1" applyFill="1" applyBorder="1" applyAlignment="1">
      <alignment horizontal="center" wrapText="1"/>
    </xf>
    <xf numFmtId="2" fontId="10" fillId="24" borderId="44" xfId="0" applyNumberFormat="1" applyFont="1" applyFill="1" applyBorder="1" applyAlignment="1">
      <alignment horizontal="center" wrapText="1"/>
    </xf>
    <xf numFmtId="0" fontId="3" fillId="24" borderId="30" xfId="0" applyFont="1" applyFill="1" applyBorder="1" applyAlignment="1">
      <alignment horizontal="center"/>
    </xf>
    <xf numFmtId="0" fontId="3" fillId="24" borderId="35" xfId="0" applyFont="1" applyFill="1" applyBorder="1" applyAlignment="1">
      <alignment horizontal="center"/>
    </xf>
    <xf numFmtId="0" fontId="1" fillId="24" borderId="0" xfId="0" applyFont="1" applyFill="1" applyBorder="1" applyAlignment="1">
      <alignment wrapText="1"/>
    </xf>
    <xf numFmtId="2" fontId="13" fillId="24" borderId="0" xfId="0" applyNumberFormat="1" applyFont="1" applyFill="1" applyBorder="1" applyAlignment="1">
      <alignment horizontal="center" wrapText="1"/>
    </xf>
    <xf numFmtId="2" fontId="15" fillId="24" borderId="0" xfId="0" applyNumberFormat="1" applyFont="1" applyFill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2" fontId="11" fillId="24" borderId="0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5" fillId="0" borderId="45" xfId="0" applyFont="1" applyBorder="1" applyAlignment="1">
      <alignment horizontal="center" wrapText="1"/>
    </xf>
    <xf numFmtId="0" fontId="5" fillId="0" borderId="46" xfId="0" applyFont="1" applyBorder="1" applyAlignment="1">
      <alignment horizontal="center" wrapText="1"/>
    </xf>
    <xf numFmtId="0" fontId="5" fillId="0" borderId="47" xfId="0" applyFont="1" applyBorder="1" applyAlignment="1">
      <alignment horizontal="center" wrapText="1"/>
    </xf>
    <xf numFmtId="0" fontId="0" fillId="0" borderId="21" xfId="0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9" xfId="0" applyBorder="1" applyAlignment="1">
      <alignment/>
    </xf>
    <xf numFmtId="0" fontId="5" fillId="0" borderId="48" xfId="0" applyFont="1" applyBorder="1" applyAlignment="1">
      <alignment horizontal="justify" wrapText="1"/>
    </xf>
    <xf numFmtId="0" fontId="5" fillId="0" borderId="45" xfId="0" applyFont="1" applyBorder="1" applyAlignment="1">
      <alignment horizontal="justify" wrapText="1"/>
    </xf>
    <xf numFmtId="0" fontId="5" fillId="0" borderId="46" xfId="0" applyFont="1" applyBorder="1" applyAlignment="1">
      <alignment horizontal="justify" wrapText="1"/>
    </xf>
    <xf numFmtId="0" fontId="5" fillId="0" borderId="46" xfId="0" applyFont="1" applyBorder="1" applyAlignment="1">
      <alignment wrapText="1"/>
    </xf>
    <xf numFmtId="0" fontId="5" fillId="0" borderId="49" xfId="0" applyFont="1" applyBorder="1" applyAlignment="1">
      <alignment wrapText="1"/>
    </xf>
    <xf numFmtId="0" fontId="5" fillId="0" borderId="50" xfId="0" applyFont="1" applyBorder="1" applyAlignment="1">
      <alignment wrapText="1"/>
    </xf>
    <xf numFmtId="0" fontId="5" fillId="24" borderId="51" xfId="0" applyFont="1" applyFill="1" applyBorder="1" applyAlignment="1">
      <alignment wrapText="1"/>
    </xf>
    <xf numFmtId="0" fontId="5" fillId="24" borderId="52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12" fillId="0" borderId="0" xfId="0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0" fontId="3" fillId="24" borderId="13" xfId="0" applyFont="1" applyFill="1" applyBorder="1" applyAlignment="1">
      <alignment horizontal="center"/>
    </xf>
    <xf numFmtId="0" fontId="3" fillId="24" borderId="28" xfId="0" applyFont="1" applyFill="1" applyBorder="1" applyAlignment="1">
      <alignment horizontal="center" wrapText="1"/>
    </xf>
    <xf numFmtId="0" fontId="3" fillId="24" borderId="51" xfId="0" applyFont="1" applyFill="1" applyBorder="1" applyAlignment="1">
      <alignment horizontal="center"/>
    </xf>
    <xf numFmtId="2" fontId="6" fillId="24" borderId="43" xfId="0" applyNumberFormat="1" applyFont="1" applyFill="1" applyBorder="1" applyAlignment="1">
      <alignment horizontal="center" wrapText="1"/>
    </xf>
    <xf numFmtId="2" fontId="8" fillId="24" borderId="18" xfId="0" applyNumberFormat="1" applyFont="1" applyFill="1" applyBorder="1" applyAlignment="1">
      <alignment horizontal="center"/>
    </xf>
    <xf numFmtId="2" fontId="8" fillId="24" borderId="19" xfId="0" applyNumberFormat="1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3" fillId="0" borderId="0" xfId="0" applyFont="1" applyBorder="1" applyAlignment="1">
      <alignment horizontal="center"/>
    </xf>
    <xf numFmtId="2" fontId="8" fillId="25" borderId="28" xfId="0" applyNumberFormat="1" applyFont="1" applyFill="1" applyBorder="1" applyAlignment="1">
      <alignment horizontal="center" wrapText="1"/>
    </xf>
    <xf numFmtId="0" fontId="3" fillId="25" borderId="35" xfId="0" applyFont="1" applyFill="1" applyBorder="1" applyAlignment="1">
      <alignment horizontal="center"/>
    </xf>
    <xf numFmtId="2" fontId="0" fillId="25" borderId="0" xfId="0" applyNumberFormat="1" applyFill="1" applyAlignment="1">
      <alignment horizontal="center"/>
    </xf>
    <xf numFmtId="2" fontId="8" fillId="25" borderId="13" xfId="0" applyNumberFormat="1" applyFont="1" applyFill="1" applyBorder="1" applyAlignment="1">
      <alignment horizontal="center" wrapText="1"/>
    </xf>
    <xf numFmtId="0" fontId="3" fillId="25" borderId="30" xfId="0" applyFont="1" applyFill="1" applyBorder="1" applyAlignment="1">
      <alignment horizontal="center"/>
    </xf>
    <xf numFmtId="0" fontId="3" fillId="25" borderId="30" xfId="0" applyFont="1" applyFill="1" applyBorder="1" applyAlignment="1">
      <alignment horizontal="center" wrapText="1"/>
    </xf>
    <xf numFmtId="2" fontId="39" fillId="25" borderId="13" xfId="0" applyNumberFormat="1" applyFont="1" applyFill="1" applyBorder="1" applyAlignment="1">
      <alignment horizontal="center" wrapText="1"/>
    </xf>
    <xf numFmtId="0" fontId="40" fillId="25" borderId="30" xfId="0" applyFont="1" applyFill="1" applyBorder="1" applyAlignment="1">
      <alignment horizontal="center" wrapText="1"/>
    </xf>
    <xf numFmtId="0" fontId="0" fillId="25" borderId="0" xfId="0" applyFill="1" applyAlignment="1">
      <alignment horizontal="center"/>
    </xf>
    <xf numFmtId="0" fontId="4" fillId="24" borderId="0" xfId="0" applyFont="1" applyFill="1" applyBorder="1" applyAlignment="1">
      <alignment/>
    </xf>
    <xf numFmtId="0" fontId="19" fillId="24" borderId="0" xfId="0" applyFont="1" applyFill="1" applyBorder="1" applyAlignment="1">
      <alignment horizontal="center"/>
    </xf>
    <xf numFmtId="0" fontId="1" fillId="24" borderId="53" xfId="0" applyFont="1" applyFill="1" applyBorder="1" applyAlignment="1">
      <alignment wrapText="1"/>
    </xf>
    <xf numFmtId="0" fontId="3" fillId="0" borderId="41" xfId="0" applyFont="1" applyFill="1" applyBorder="1" applyAlignment="1">
      <alignment horizontal="center" wrapText="1"/>
    </xf>
    <xf numFmtId="0" fontId="3" fillId="0" borderId="54" xfId="0" applyFont="1" applyFill="1" applyBorder="1" applyAlignment="1">
      <alignment horizontal="center" wrapText="1"/>
    </xf>
    <xf numFmtId="2" fontId="8" fillId="0" borderId="55" xfId="0" applyNumberFormat="1" applyFont="1" applyBorder="1" applyAlignment="1">
      <alignment horizontal="center"/>
    </xf>
    <xf numFmtId="2" fontId="11" fillId="24" borderId="13" xfId="0" applyNumberFormat="1" applyFont="1" applyFill="1" applyBorder="1" applyAlignment="1">
      <alignment horizontal="center"/>
    </xf>
    <xf numFmtId="2" fontId="3" fillId="0" borderId="56" xfId="0" applyNumberFormat="1" applyFont="1" applyBorder="1" applyAlignment="1">
      <alignment horizontal="center"/>
    </xf>
    <xf numFmtId="2" fontId="3" fillId="0" borderId="49" xfId="0" applyNumberFormat="1" applyFont="1" applyBorder="1" applyAlignment="1">
      <alignment horizontal="center"/>
    </xf>
    <xf numFmtId="2" fontId="12" fillId="24" borderId="29" xfId="0" applyNumberFormat="1" applyFont="1" applyFill="1" applyBorder="1" applyAlignment="1">
      <alignment horizontal="center" wrapText="1"/>
    </xf>
    <xf numFmtId="2" fontId="12" fillId="24" borderId="44" xfId="0" applyNumberFormat="1" applyFont="1" applyFill="1" applyBorder="1" applyAlignment="1">
      <alignment horizontal="center" wrapText="1"/>
    </xf>
    <xf numFmtId="2" fontId="12" fillId="24" borderId="34" xfId="0" applyNumberFormat="1" applyFont="1" applyFill="1" applyBorder="1" applyAlignment="1">
      <alignment horizontal="center" wrapText="1"/>
    </xf>
    <xf numFmtId="2" fontId="12" fillId="24" borderId="29" xfId="0" applyNumberFormat="1" applyFont="1" applyFill="1" applyBorder="1" applyAlignment="1">
      <alignment horizontal="center" wrapText="1"/>
    </xf>
    <xf numFmtId="0" fontId="6" fillId="0" borderId="57" xfId="0" applyFont="1" applyBorder="1" applyAlignment="1">
      <alignment/>
    </xf>
    <xf numFmtId="0" fontId="6" fillId="0" borderId="58" xfId="0" applyFont="1" applyBorder="1" applyAlignment="1">
      <alignment/>
    </xf>
    <xf numFmtId="0" fontId="6" fillId="0" borderId="59" xfId="0" applyFont="1" applyBorder="1" applyAlignment="1">
      <alignment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0" fillId="24" borderId="20" xfId="0" applyFill="1" applyBorder="1" applyAlignment="1">
      <alignment/>
    </xf>
    <xf numFmtId="0" fontId="0" fillId="24" borderId="63" xfId="0" applyFill="1" applyBorder="1" applyAlignment="1">
      <alignment/>
    </xf>
    <xf numFmtId="0" fontId="2" fillId="0" borderId="20" xfId="0" applyFont="1" applyBorder="1" applyAlignment="1">
      <alignment horizontal="center"/>
    </xf>
    <xf numFmtId="0" fontId="5" fillId="0" borderId="51" xfId="0" applyFont="1" applyBorder="1" applyAlignment="1">
      <alignment horizontal="center" wrapText="1"/>
    </xf>
    <xf numFmtId="0" fontId="5" fillId="0" borderId="56" xfId="0" applyFont="1" applyBorder="1" applyAlignment="1">
      <alignment horizontal="center" wrapText="1"/>
    </xf>
    <xf numFmtId="0" fontId="5" fillId="0" borderId="49" xfId="0" applyFont="1" applyBorder="1" applyAlignment="1">
      <alignment horizontal="center" wrapText="1"/>
    </xf>
    <xf numFmtId="0" fontId="5" fillId="0" borderId="50" xfId="0" applyFont="1" applyBorder="1" applyAlignment="1">
      <alignment horizontal="center" wrapText="1"/>
    </xf>
    <xf numFmtId="0" fontId="5" fillId="24" borderId="51" xfId="0" applyFont="1" applyFill="1" applyBorder="1" applyAlignment="1">
      <alignment horizontal="center" wrapText="1"/>
    </xf>
    <xf numFmtId="0" fontId="5" fillId="24" borderId="64" xfId="0" applyFont="1" applyFill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10" fillId="24" borderId="13" xfId="0" applyFont="1" applyFill="1" applyBorder="1" applyAlignment="1">
      <alignment horizontal="center" wrapText="1"/>
    </xf>
    <xf numFmtId="0" fontId="5" fillId="24" borderId="13" xfId="0" applyFont="1" applyFill="1" applyBorder="1" applyAlignment="1">
      <alignment horizontal="center" wrapText="1"/>
    </xf>
    <xf numFmtId="2" fontId="12" fillId="24" borderId="0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wrapText="1"/>
    </xf>
    <xf numFmtId="0" fontId="0" fillId="24" borderId="22" xfId="0" applyFont="1" applyFill="1" applyBorder="1" applyAlignment="1">
      <alignment horizontal="center"/>
    </xf>
    <xf numFmtId="2" fontId="0" fillId="24" borderId="10" xfId="0" applyNumberFormat="1" applyFont="1" applyFill="1" applyBorder="1" applyAlignment="1">
      <alignment horizontal="center"/>
    </xf>
    <xf numFmtId="2" fontId="0" fillId="24" borderId="25" xfId="0" applyNumberFormat="1" applyFont="1" applyFill="1" applyBorder="1" applyAlignment="1">
      <alignment horizontal="center"/>
    </xf>
    <xf numFmtId="0" fontId="5" fillId="0" borderId="51" xfId="0" applyFont="1" applyBorder="1" applyAlignment="1">
      <alignment horizontal="justify" wrapText="1"/>
    </xf>
    <xf numFmtId="2" fontId="0" fillId="0" borderId="0" xfId="0" applyNumberFormat="1" applyAlignment="1">
      <alignment/>
    </xf>
    <xf numFmtId="2" fontId="6" fillId="24" borderId="17" xfId="0" applyNumberFormat="1" applyFont="1" applyFill="1" applyBorder="1" applyAlignment="1">
      <alignment horizontal="center"/>
    </xf>
    <xf numFmtId="0" fontId="6" fillId="24" borderId="25" xfId="0" applyFont="1" applyFill="1" applyBorder="1" applyAlignment="1">
      <alignment horizontal="center" wrapText="1"/>
    </xf>
    <xf numFmtId="2" fontId="0" fillId="24" borderId="22" xfId="0" applyNumberFormat="1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2" fontId="6" fillId="24" borderId="22" xfId="0" applyNumberFormat="1" applyFont="1" applyFill="1" applyBorder="1" applyAlignment="1">
      <alignment/>
    </xf>
    <xf numFmtId="2" fontId="0" fillId="24" borderId="22" xfId="0" applyNumberForma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2" fontId="39" fillId="24" borderId="13" xfId="0" applyNumberFormat="1" applyFont="1" applyFill="1" applyBorder="1" applyAlignment="1">
      <alignment horizontal="center" wrapText="1"/>
    </xf>
    <xf numFmtId="0" fontId="3" fillId="24" borderId="65" xfId="0" applyFont="1" applyFill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24" borderId="3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9" fillId="24" borderId="21" xfId="0" applyFont="1" applyFill="1" applyBorder="1" applyAlignment="1">
      <alignment horizontal="center"/>
    </xf>
    <xf numFmtId="2" fontId="8" fillId="24" borderId="1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3" fillId="24" borderId="13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520"/>
  <sheetViews>
    <sheetView tabSelected="1" view="pageBreakPreview" zoomScaleSheetLayoutView="100" workbookViewId="0" topLeftCell="A1">
      <selection activeCell="I483" sqref="I483"/>
    </sheetView>
  </sheetViews>
  <sheetFormatPr defaultColWidth="9.140625" defaultRowHeight="12.75" customHeight="1"/>
  <cols>
    <col min="1" max="1" width="3.421875" style="0" customWidth="1"/>
    <col min="2" max="2" width="18.00390625" style="0" customWidth="1"/>
    <col min="3" max="3" width="12.140625" style="0" customWidth="1"/>
    <col min="4" max="4" width="13.28125" style="0" customWidth="1"/>
    <col min="5" max="5" width="10.28125" style="0" customWidth="1"/>
    <col min="6" max="6" width="10.00390625" style="0" bestFit="1" customWidth="1"/>
    <col min="7" max="7" width="11.00390625" style="0" customWidth="1"/>
    <col min="8" max="8" width="11.00390625" style="0" hidden="1" customWidth="1"/>
    <col min="9" max="9" width="10.57421875" style="0" customWidth="1"/>
    <col min="10" max="10" width="9.28125" style="0" bestFit="1" customWidth="1"/>
    <col min="11" max="11" width="9.57421875" style="0" bestFit="1" customWidth="1"/>
    <col min="12" max="12" width="10.421875" style="0" bestFit="1" customWidth="1"/>
    <col min="13" max="14" width="10.28125" style="0" customWidth="1"/>
    <col min="15" max="16" width="9.28125" style="0" bestFit="1" customWidth="1"/>
    <col min="17" max="17" width="13.28125" style="0" customWidth="1"/>
  </cols>
  <sheetData>
    <row r="2" spans="2:17" ht="12.75" customHeight="1" hidden="1" thickBot="1">
      <c r="B2" s="436" t="s">
        <v>67</v>
      </c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</row>
    <row r="3" spans="1:17" ht="12.75" customHeight="1" hidden="1" thickBot="1">
      <c r="A3" s="343"/>
      <c r="B3" s="14" t="s">
        <v>36</v>
      </c>
      <c r="C3" s="207">
        <v>2110</v>
      </c>
      <c r="D3" s="207">
        <v>2111</v>
      </c>
      <c r="E3" s="207">
        <v>2210</v>
      </c>
      <c r="F3" s="120">
        <v>2230</v>
      </c>
      <c r="G3" s="120">
        <v>2240</v>
      </c>
      <c r="H3" s="120"/>
      <c r="I3" s="120">
        <v>2271</v>
      </c>
      <c r="J3" s="15">
        <v>2272</v>
      </c>
      <c r="K3" s="15">
        <v>2273</v>
      </c>
      <c r="L3" s="121">
        <v>2274</v>
      </c>
      <c r="M3" s="121">
        <v>2275</v>
      </c>
      <c r="N3" s="121">
        <v>2800</v>
      </c>
      <c r="O3" s="121">
        <v>2730</v>
      </c>
      <c r="P3" s="15">
        <v>2282</v>
      </c>
      <c r="Q3" s="218" t="s">
        <v>35</v>
      </c>
    </row>
    <row r="4" spans="1:17" ht="12.75" customHeight="1" hidden="1">
      <c r="A4" s="344">
        <v>1</v>
      </c>
      <c r="B4" s="340" t="s">
        <v>0</v>
      </c>
      <c r="C4" s="213"/>
      <c r="D4" s="214"/>
      <c r="E4" s="214">
        <f>(190+3325)*1.2</f>
        <v>4218</v>
      </c>
      <c r="F4" s="97">
        <f>1016.06+127.1</f>
        <v>1143.1599999999999</v>
      </c>
      <c r="G4" s="97">
        <f>(51.51+60.5)*1.2+139</f>
        <v>273.412</v>
      </c>
      <c r="H4" s="97"/>
      <c r="I4" s="215"/>
      <c r="J4" s="9"/>
      <c r="K4" s="33">
        <v>794</v>
      </c>
      <c r="L4" s="9"/>
      <c r="M4" s="12"/>
      <c r="N4" s="12"/>
      <c r="O4" s="216"/>
      <c r="P4" s="216"/>
      <c r="Q4" s="31">
        <f>SUM(C4:P4)</f>
        <v>6428.572</v>
      </c>
    </row>
    <row r="5" spans="1:17" ht="12.75" customHeight="1" hidden="1">
      <c r="A5" s="345">
        <v>2</v>
      </c>
      <c r="B5" s="341" t="s">
        <v>1</v>
      </c>
      <c r="C5" s="194"/>
      <c r="D5" s="114"/>
      <c r="E5" s="114">
        <f>2625*1.2</f>
        <v>3150</v>
      </c>
      <c r="F5" s="95">
        <f>1552.89+281.28</f>
        <v>1834.17</v>
      </c>
      <c r="G5" s="95">
        <f>(44.7*1.2)+135</f>
        <v>188.64</v>
      </c>
      <c r="H5" s="95"/>
      <c r="I5" s="98"/>
      <c r="J5" s="4"/>
      <c r="K5" s="29">
        <v>1569</v>
      </c>
      <c r="L5" s="29">
        <v>29227.64</v>
      </c>
      <c r="M5" s="6"/>
      <c r="N5" s="6"/>
      <c r="O5" s="1"/>
      <c r="P5" s="1"/>
      <c r="Q5" s="37">
        <f>SUM(C5:P5)</f>
        <v>35969.45</v>
      </c>
    </row>
    <row r="6" spans="1:17" ht="12.75" customHeight="1" hidden="1">
      <c r="A6" s="345">
        <v>3</v>
      </c>
      <c r="B6" s="341" t="s">
        <v>2</v>
      </c>
      <c r="C6" s="194"/>
      <c r="D6" s="114"/>
      <c r="E6" s="114">
        <f>3850*1.2</f>
        <v>4620</v>
      </c>
      <c r="F6" s="95"/>
      <c r="G6" s="95">
        <f>(44.7+51.51)*1.2</f>
        <v>115.452</v>
      </c>
      <c r="H6" s="95"/>
      <c r="I6" s="99"/>
      <c r="J6" s="4"/>
      <c r="K6" s="29">
        <v>9859</v>
      </c>
      <c r="L6" s="29"/>
      <c r="M6" s="29"/>
      <c r="N6" s="29"/>
      <c r="O6" s="1"/>
      <c r="P6" s="1"/>
      <c r="Q6" s="37">
        <f aca="true" t="shared" si="0" ref="Q6:Q34">SUM(C6:P6)</f>
        <v>14594.452000000001</v>
      </c>
    </row>
    <row r="7" spans="1:17" ht="12.75" customHeight="1" hidden="1">
      <c r="A7" s="345">
        <v>4</v>
      </c>
      <c r="B7" s="341" t="s">
        <v>3</v>
      </c>
      <c r="C7" s="194"/>
      <c r="D7" s="114"/>
      <c r="E7" s="114"/>
      <c r="F7" s="95">
        <f>994.01</f>
        <v>994.01</v>
      </c>
      <c r="G7" s="95">
        <f>44.7*1.2</f>
        <v>53.64</v>
      </c>
      <c r="H7" s="95"/>
      <c r="I7" s="98"/>
      <c r="J7" s="4"/>
      <c r="K7" s="29">
        <v>1819</v>
      </c>
      <c r="L7" s="29">
        <v>21414.54</v>
      </c>
      <c r="M7" s="29"/>
      <c r="N7" s="29"/>
      <c r="O7" s="1"/>
      <c r="P7" s="1"/>
      <c r="Q7" s="37">
        <f t="shared" si="0"/>
        <v>24281.190000000002</v>
      </c>
    </row>
    <row r="8" spans="1:17" ht="12.75" customHeight="1" hidden="1">
      <c r="A8" s="345">
        <v>5</v>
      </c>
      <c r="B8" s="341" t="s">
        <v>4</v>
      </c>
      <c r="C8" s="194"/>
      <c r="D8" s="114"/>
      <c r="E8" s="114"/>
      <c r="F8" s="95">
        <f>343.35</f>
        <v>343.35</v>
      </c>
      <c r="G8" s="95">
        <f>44.7*1.2</f>
        <v>53.64</v>
      </c>
      <c r="H8" s="95"/>
      <c r="I8" s="99"/>
      <c r="J8" s="4"/>
      <c r="K8" s="29">
        <v>2219</v>
      </c>
      <c r="L8" s="29"/>
      <c r="M8" s="29"/>
      <c r="N8" s="29"/>
      <c r="O8" s="1"/>
      <c r="P8" s="1"/>
      <c r="Q8" s="37">
        <f t="shared" si="0"/>
        <v>2615.99</v>
      </c>
    </row>
    <row r="9" spans="1:17" ht="12.75" customHeight="1" hidden="1">
      <c r="A9" s="345">
        <v>6</v>
      </c>
      <c r="B9" s="341" t="s">
        <v>5</v>
      </c>
      <c r="C9" s="212"/>
      <c r="D9" s="114"/>
      <c r="E9" s="114">
        <f>(7000+7000+2800)*1.2</f>
        <v>20160</v>
      </c>
      <c r="F9" s="95">
        <f>3701.94+1744.14</f>
        <v>5446.08</v>
      </c>
      <c r="G9" s="95">
        <f>308.03+435.76</f>
        <v>743.79</v>
      </c>
      <c r="H9" s="236"/>
      <c r="I9" s="42"/>
      <c r="J9" s="29"/>
      <c r="K9" s="29">
        <v>17675</v>
      </c>
      <c r="L9" s="29"/>
      <c r="M9" s="29"/>
      <c r="N9" s="29">
        <f>56</f>
        <v>56</v>
      </c>
      <c r="O9" s="1"/>
      <c r="P9" s="1"/>
      <c r="Q9" s="37">
        <f t="shared" si="0"/>
        <v>44080.87</v>
      </c>
    </row>
    <row r="10" spans="1:17" ht="12.75" customHeight="1" hidden="1">
      <c r="A10" s="345">
        <v>7</v>
      </c>
      <c r="B10" s="341" t="s">
        <v>6</v>
      </c>
      <c r="C10" s="212"/>
      <c r="D10" s="114"/>
      <c r="E10" s="114"/>
      <c r="F10" s="95">
        <f>808.58</f>
        <v>808.58</v>
      </c>
      <c r="G10" s="95">
        <f>(37.96*1.2)+80+200</f>
        <v>325.552</v>
      </c>
      <c r="H10" s="95"/>
      <c r="I10" s="98"/>
      <c r="J10" s="4"/>
      <c r="K10" s="29">
        <v>4468</v>
      </c>
      <c r="L10" s="29"/>
      <c r="M10" s="29"/>
      <c r="N10" s="29"/>
      <c r="O10" s="1"/>
      <c r="P10" s="1"/>
      <c r="Q10" s="37">
        <f t="shared" si="0"/>
        <v>5602.132</v>
      </c>
    </row>
    <row r="11" spans="1:17" ht="12.75" customHeight="1" hidden="1">
      <c r="A11" s="345">
        <v>8</v>
      </c>
      <c r="B11" s="341" t="s">
        <v>7</v>
      </c>
      <c r="C11" s="212"/>
      <c r="D11" s="114"/>
      <c r="E11" s="114"/>
      <c r="F11" s="95">
        <f>363.16</f>
        <v>363.16</v>
      </c>
      <c r="G11" s="95">
        <f>52.78*1.2</f>
        <v>63.336</v>
      </c>
      <c r="H11" s="95"/>
      <c r="I11" s="98"/>
      <c r="J11" s="29">
        <f>177.16</f>
        <v>177.16</v>
      </c>
      <c r="K11" s="29">
        <v>5396</v>
      </c>
      <c r="L11" s="29"/>
      <c r="M11" s="29"/>
      <c r="N11" s="29"/>
      <c r="O11" s="1"/>
      <c r="P11" s="1"/>
      <c r="Q11" s="37">
        <f t="shared" si="0"/>
        <v>5999.656</v>
      </c>
    </row>
    <row r="12" spans="1:17" ht="12.75" customHeight="1" hidden="1">
      <c r="A12" s="345">
        <v>9</v>
      </c>
      <c r="B12" s="341" t="s">
        <v>8</v>
      </c>
      <c r="C12" s="212"/>
      <c r="D12" s="114"/>
      <c r="E12" s="95"/>
      <c r="F12" s="95">
        <f>1212.24</f>
        <v>1212.24</v>
      </c>
      <c r="G12" s="95">
        <f>89.4*1.2</f>
        <v>107.28</v>
      </c>
      <c r="H12" s="95"/>
      <c r="I12" s="98"/>
      <c r="J12" s="4"/>
      <c r="K12" s="29">
        <v>2408</v>
      </c>
      <c r="L12" s="29"/>
      <c r="M12" s="29"/>
      <c r="N12" s="29"/>
      <c r="O12" s="1"/>
      <c r="P12" s="1"/>
      <c r="Q12" s="37">
        <f t="shared" si="0"/>
        <v>3727.52</v>
      </c>
    </row>
    <row r="13" spans="1:17" ht="12.75" customHeight="1" hidden="1">
      <c r="A13" s="345">
        <v>10</v>
      </c>
      <c r="B13" s="341" t="s">
        <v>9</v>
      </c>
      <c r="C13" s="212"/>
      <c r="D13" s="114"/>
      <c r="E13" s="95">
        <f>2625*1.2</f>
        <v>3150</v>
      </c>
      <c r="F13" s="95">
        <f>1765.48</f>
        <v>1765.48</v>
      </c>
      <c r="G13" s="95">
        <f>(44.7*1.2)+100</f>
        <v>153.64</v>
      </c>
      <c r="H13" s="95"/>
      <c r="I13" s="98"/>
      <c r="J13" s="4"/>
      <c r="K13" s="29">
        <v>2869</v>
      </c>
      <c r="L13" s="29">
        <v>26321.54</v>
      </c>
      <c r="M13" s="29"/>
      <c r="N13" s="29"/>
      <c r="O13" s="1"/>
      <c r="P13" s="1"/>
      <c r="Q13" s="37">
        <f t="shared" si="0"/>
        <v>34259.66</v>
      </c>
    </row>
    <row r="14" spans="1:17" ht="12.75" customHeight="1" hidden="1">
      <c r="A14" s="345">
        <v>11</v>
      </c>
      <c r="B14" s="341" t="s">
        <v>10</v>
      </c>
      <c r="C14" s="212"/>
      <c r="D14" s="114"/>
      <c r="E14" s="95"/>
      <c r="F14" s="95">
        <f>893.5</f>
        <v>893.5</v>
      </c>
      <c r="G14" s="95">
        <f>(46.9*1.2)+139</f>
        <v>195.28</v>
      </c>
      <c r="H14" s="95"/>
      <c r="I14" s="98"/>
      <c r="J14" s="36"/>
      <c r="K14" s="29">
        <v>1663</v>
      </c>
      <c r="L14" s="29"/>
      <c r="M14" s="29"/>
      <c r="N14" s="29"/>
      <c r="O14" s="1"/>
      <c r="P14" s="1"/>
      <c r="Q14" s="37">
        <f t="shared" si="0"/>
        <v>2751.7799999999997</v>
      </c>
    </row>
    <row r="15" spans="1:17" ht="12.75" customHeight="1" hidden="1">
      <c r="A15" s="345">
        <v>12</v>
      </c>
      <c r="B15" s="341" t="s">
        <v>11</v>
      </c>
      <c r="C15" s="212"/>
      <c r="D15" s="114"/>
      <c r="E15" s="95">
        <f>3850*1.2</f>
        <v>4620</v>
      </c>
      <c r="F15" s="95"/>
      <c r="G15" s="95">
        <f>44.7*1.2</f>
        <v>53.64</v>
      </c>
      <c r="H15" s="95"/>
      <c r="I15" s="98"/>
      <c r="J15" s="4"/>
      <c r="K15" s="29">
        <v>5262</v>
      </c>
      <c r="L15" s="29"/>
      <c r="M15" s="29"/>
      <c r="N15" s="29"/>
      <c r="O15" s="1"/>
      <c r="P15" s="1"/>
      <c r="Q15" s="37">
        <f t="shared" si="0"/>
        <v>9935.64</v>
      </c>
    </row>
    <row r="16" spans="1:17" ht="12.75" customHeight="1" hidden="1">
      <c r="A16" s="345">
        <v>13</v>
      </c>
      <c r="B16" s="341" t="s">
        <v>13</v>
      </c>
      <c r="C16" s="212"/>
      <c r="D16" s="114"/>
      <c r="E16" s="95"/>
      <c r="F16" s="95"/>
      <c r="G16" s="95">
        <f>26.82*1.2</f>
        <v>32.184</v>
      </c>
      <c r="H16" s="95"/>
      <c r="I16" s="98"/>
      <c r="J16" s="4"/>
      <c r="K16" s="29">
        <v>1539</v>
      </c>
      <c r="L16" s="29">
        <v>20890.49</v>
      </c>
      <c r="M16" s="29"/>
      <c r="N16" s="29"/>
      <c r="O16" s="1"/>
      <c r="P16" s="1"/>
      <c r="Q16" s="37">
        <f t="shared" si="0"/>
        <v>22461.674000000003</v>
      </c>
    </row>
    <row r="17" spans="1:17" ht="12.75" customHeight="1" hidden="1">
      <c r="A17" s="345">
        <v>14</v>
      </c>
      <c r="B17" s="341" t="s">
        <v>14</v>
      </c>
      <c r="C17" s="212"/>
      <c r="D17" s="114"/>
      <c r="E17" s="95">
        <f>1750*1.2</f>
        <v>2100</v>
      </c>
      <c r="F17" s="95">
        <f>878.43</f>
        <v>878.43</v>
      </c>
      <c r="G17" s="95">
        <f>44.7*1.2</f>
        <v>53.64</v>
      </c>
      <c r="H17" s="95"/>
      <c r="I17" s="98"/>
      <c r="J17" s="29">
        <f>106.64</f>
        <v>106.64</v>
      </c>
      <c r="K17" s="29">
        <v>797</v>
      </c>
      <c r="L17" s="29"/>
      <c r="M17" s="29"/>
      <c r="N17" s="29"/>
      <c r="O17" s="1"/>
      <c r="P17" s="1"/>
      <c r="Q17" s="37">
        <f t="shared" si="0"/>
        <v>3935.7099999999996</v>
      </c>
    </row>
    <row r="18" spans="1:17" ht="12.75" customHeight="1" hidden="1">
      <c r="A18" s="345">
        <v>15</v>
      </c>
      <c r="B18" s="341" t="s">
        <v>15</v>
      </c>
      <c r="C18" s="212"/>
      <c r="D18" s="114"/>
      <c r="E18" s="95"/>
      <c r="F18" s="95">
        <f>266.97</f>
        <v>266.97</v>
      </c>
      <c r="G18" s="95">
        <f>44.7*1.2</f>
        <v>53.64</v>
      </c>
      <c r="H18" s="95"/>
      <c r="I18" s="98"/>
      <c r="J18" s="4"/>
      <c r="K18" s="29">
        <v>1070</v>
      </c>
      <c r="L18" s="29"/>
      <c r="M18" s="29"/>
      <c r="N18" s="29"/>
      <c r="O18" s="1"/>
      <c r="P18" s="1"/>
      <c r="Q18" s="37">
        <f t="shared" si="0"/>
        <v>1390.6100000000001</v>
      </c>
    </row>
    <row r="19" spans="1:17" ht="12.75" customHeight="1" hidden="1">
      <c r="A19" s="345">
        <v>16</v>
      </c>
      <c r="B19" s="341" t="s">
        <v>16</v>
      </c>
      <c r="C19" s="212"/>
      <c r="D19" s="114"/>
      <c r="E19" s="95"/>
      <c r="F19" s="95"/>
      <c r="G19" s="95">
        <f>44.7*1.2</f>
        <v>53.64</v>
      </c>
      <c r="H19" s="95"/>
      <c r="I19" s="98"/>
      <c r="J19" s="4"/>
      <c r="K19" s="29">
        <v>2730</v>
      </c>
      <c r="L19" s="29"/>
      <c r="M19" s="29"/>
      <c r="N19" s="29"/>
      <c r="O19" s="1"/>
      <c r="P19" s="1"/>
      <c r="Q19" s="37">
        <f t="shared" si="0"/>
        <v>2783.64</v>
      </c>
    </row>
    <row r="20" spans="1:17" ht="12.75" customHeight="1" hidden="1">
      <c r="A20" s="345">
        <v>17</v>
      </c>
      <c r="B20" s="341" t="s">
        <v>17</v>
      </c>
      <c r="C20" s="212"/>
      <c r="D20" s="114"/>
      <c r="E20" s="95">
        <f>4375*1.2</f>
        <v>5250</v>
      </c>
      <c r="F20" s="95">
        <f>322.27</f>
        <v>322.27</v>
      </c>
      <c r="G20" s="95">
        <f>44.7*1.2</f>
        <v>53.64</v>
      </c>
      <c r="H20" s="95"/>
      <c r="I20" s="99"/>
      <c r="J20" s="4"/>
      <c r="K20" s="29">
        <v>45</v>
      </c>
      <c r="L20" s="29"/>
      <c r="M20" s="29"/>
      <c r="N20" s="29"/>
      <c r="O20" s="1"/>
      <c r="P20" s="1"/>
      <c r="Q20" s="37">
        <f t="shared" si="0"/>
        <v>5670.910000000001</v>
      </c>
    </row>
    <row r="21" spans="1:17" ht="12.75" customHeight="1" hidden="1">
      <c r="A21" s="345">
        <v>18</v>
      </c>
      <c r="B21" s="341" t="s">
        <v>18</v>
      </c>
      <c r="C21" s="212"/>
      <c r="D21" s="114"/>
      <c r="E21" s="95"/>
      <c r="F21" s="95">
        <f>343.6+206.53</f>
        <v>550.13</v>
      </c>
      <c r="G21" s="95">
        <f>238.46*1.2</f>
        <v>286.152</v>
      </c>
      <c r="H21" s="95"/>
      <c r="I21" s="99"/>
      <c r="J21" s="4"/>
      <c r="K21" s="29">
        <v>1236</v>
      </c>
      <c r="L21" s="29">
        <v>10052.21</v>
      </c>
      <c r="M21" s="29"/>
      <c r="N21" s="29"/>
      <c r="O21" s="1"/>
      <c r="P21" s="1"/>
      <c r="Q21" s="37">
        <f t="shared" si="0"/>
        <v>12124.491999999998</v>
      </c>
    </row>
    <row r="22" spans="1:17" ht="12.75" customHeight="1" hidden="1">
      <c r="A22" s="345">
        <v>19</v>
      </c>
      <c r="B22" s="341" t="s">
        <v>19</v>
      </c>
      <c r="C22" s="212"/>
      <c r="D22" s="114"/>
      <c r="E22" s="95"/>
      <c r="F22" s="95">
        <f>1670.58+181.9</f>
        <v>1852.48</v>
      </c>
      <c r="G22" s="95">
        <f>44.7*1.2</f>
        <v>53.64</v>
      </c>
      <c r="H22" s="95"/>
      <c r="I22" s="99"/>
      <c r="J22" s="4"/>
      <c r="K22" s="29">
        <v>670</v>
      </c>
      <c r="L22" s="29"/>
      <c r="M22" s="29"/>
      <c r="N22" s="29"/>
      <c r="O22" s="1"/>
      <c r="P22" s="1"/>
      <c r="Q22" s="37">
        <f t="shared" si="0"/>
        <v>2576.12</v>
      </c>
    </row>
    <row r="23" spans="1:17" ht="12.75" customHeight="1" hidden="1">
      <c r="A23" s="345">
        <v>20</v>
      </c>
      <c r="B23" s="341" t="s">
        <v>20</v>
      </c>
      <c r="C23" s="212"/>
      <c r="D23" s="114"/>
      <c r="E23" s="95"/>
      <c r="F23" s="95"/>
      <c r="G23" s="95"/>
      <c r="H23" s="95"/>
      <c r="I23" s="98"/>
      <c r="J23" s="4"/>
      <c r="K23" s="29">
        <v>3202</v>
      </c>
      <c r="L23" s="29"/>
      <c r="M23" s="29"/>
      <c r="N23" s="29"/>
      <c r="O23" s="1"/>
      <c r="P23" s="1"/>
      <c r="Q23" s="37">
        <f t="shared" si="0"/>
        <v>3202</v>
      </c>
    </row>
    <row r="24" spans="1:17" ht="12.75" customHeight="1" hidden="1">
      <c r="A24" s="345">
        <v>21</v>
      </c>
      <c r="B24" s="341" t="s">
        <v>21</v>
      </c>
      <c r="C24" s="212"/>
      <c r="D24" s="114"/>
      <c r="E24" s="95"/>
      <c r="F24" s="95"/>
      <c r="G24" s="95">
        <f>(44.7*1.2)+120</f>
        <v>173.64</v>
      </c>
      <c r="H24" s="95"/>
      <c r="I24" s="99"/>
      <c r="J24" s="4"/>
      <c r="K24" s="29">
        <v>2686</v>
      </c>
      <c r="L24" s="29"/>
      <c r="M24" s="29"/>
      <c r="N24" s="29"/>
      <c r="O24" s="1"/>
      <c r="P24" s="1"/>
      <c r="Q24" s="37">
        <f t="shared" si="0"/>
        <v>2859.64</v>
      </c>
    </row>
    <row r="25" spans="1:17" ht="12.75" customHeight="1" hidden="1">
      <c r="A25" s="345">
        <v>22</v>
      </c>
      <c r="B25" s="341" t="s">
        <v>22</v>
      </c>
      <c r="C25" s="212"/>
      <c r="D25" s="114"/>
      <c r="E25" s="95"/>
      <c r="F25" s="95"/>
      <c r="G25" s="95">
        <f>44.7*1.2</f>
        <v>53.64</v>
      </c>
      <c r="H25" s="95"/>
      <c r="I25" s="99"/>
      <c r="J25" s="4"/>
      <c r="K25" s="29">
        <v>1333</v>
      </c>
      <c r="L25" s="29"/>
      <c r="M25" s="29"/>
      <c r="N25" s="29"/>
      <c r="O25" s="1"/>
      <c r="P25" s="1"/>
      <c r="Q25" s="37">
        <f t="shared" si="0"/>
        <v>1386.64</v>
      </c>
    </row>
    <row r="26" spans="1:17" ht="12.75" customHeight="1" hidden="1">
      <c r="A26" s="345">
        <v>23</v>
      </c>
      <c r="B26" s="341" t="s">
        <v>23</v>
      </c>
      <c r="C26" s="212"/>
      <c r="D26" s="114"/>
      <c r="E26" s="95"/>
      <c r="F26" s="95">
        <f>649.85+78.59</f>
        <v>728.44</v>
      </c>
      <c r="G26" s="95">
        <f>230.69*1.2</f>
        <v>276.828</v>
      </c>
      <c r="H26" s="95"/>
      <c r="I26" s="98"/>
      <c r="J26" s="4"/>
      <c r="K26" s="29">
        <v>1117</v>
      </c>
      <c r="L26" s="29">
        <v>41864.96</v>
      </c>
      <c r="M26" s="29"/>
      <c r="N26" s="29"/>
      <c r="O26" s="1"/>
      <c r="P26" s="1"/>
      <c r="Q26" s="37">
        <f t="shared" si="0"/>
        <v>43987.228</v>
      </c>
    </row>
    <row r="27" spans="1:17" ht="12.75" customHeight="1" hidden="1">
      <c r="A27" s="345">
        <v>24</v>
      </c>
      <c r="B27" s="341" t="s">
        <v>25</v>
      </c>
      <c r="C27" s="212"/>
      <c r="D27" s="114"/>
      <c r="E27" s="95"/>
      <c r="F27" s="95"/>
      <c r="G27" s="96"/>
      <c r="H27" s="96"/>
      <c r="I27" s="98"/>
      <c r="J27" s="4"/>
      <c r="K27" s="29">
        <f>52.06-0.96</f>
        <v>51.1</v>
      </c>
      <c r="L27" s="4"/>
      <c r="M27" s="4"/>
      <c r="N27" s="4"/>
      <c r="O27" s="1"/>
      <c r="P27" s="1"/>
      <c r="Q27" s="37">
        <f t="shared" si="0"/>
        <v>51.1</v>
      </c>
    </row>
    <row r="28" spans="1:17" ht="12.75" customHeight="1" hidden="1">
      <c r="A28" s="345">
        <v>25</v>
      </c>
      <c r="B28" s="341" t="s">
        <v>26</v>
      </c>
      <c r="C28" s="212"/>
      <c r="D28" s="114"/>
      <c r="E28" s="95"/>
      <c r="F28" s="95"/>
      <c r="G28" s="98"/>
      <c r="H28" s="98"/>
      <c r="I28" s="98"/>
      <c r="J28" s="4"/>
      <c r="K28" s="29">
        <v>124</v>
      </c>
      <c r="L28" s="4"/>
      <c r="M28" s="4"/>
      <c r="N28" s="4"/>
      <c r="O28" s="1"/>
      <c r="P28" s="1"/>
      <c r="Q28" s="37">
        <f t="shared" si="0"/>
        <v>124</v>
      </c>
    </row>
    <row r="29" spans="1:17" ht="12.75" customHeight="1" hidden="1">
      <c r="A29" s="345">
        <v>26</v>
      </c>
      <c r="B29" s="341" t="s">
        <v>29</v>
      </c>
      <c r="C29" s="212"/>
      <c r="D29" s="114"/>
      <c r="E29" s="95"/>
      <c r="F29" s="95"/>
      <c r="G29" s="98"/>
      <c r="H29" s="98"/>
      <c r="I29" s="98"/>
      <c r="J29" s="4"/>
      <c r="K29" s="29">
        <v>25</v>
      </c>
      <c r="L29" s="4"/>
      <c r="M29" s="4"/>
      <c r="N29" s="4"/>
      <c r="O29" s="1"/>
      <c r="P29" s="1"/>
      <c r="Q29" s="37">
        <f t="shared" si="0"/>
        <v>25</v>
      </c>
    </row>
    <row r="30" spans="1:17" ht="12.75" customHeight="1" hidden="1">
      <c r="A30" s="345">
        <v>27</v>
      </c>
      <c r="B30" s="341" t="s">
        <v>31</v>
      </c>
      <c r="C30" s="212"/>
      <c r="D30" s="114"/>
      <c r="E30" s="95"/>
      <c r="F30" s="95">
        <f>320.32</f>
        <v>320.32</v>
      </c>
      <c r="G30" s="98"/>
      <c r="H30" s="98"/>
      <c r="I30" s="98"/>
      <c r="J30" s="4"/>
      <c r="K30" s="29">
        <v>819</v>
      </c>
      <c r="L30" s="29">
        <v>190.56</v>
      </c>
      <c r="M30" s="4"/>
      <c r="N30" s="4"/>
      <c r="O30" s="1"/>
      <c r="P30" s="1"/>
      <c r="Q30" s="37">
        <f t="shared" si="0"/>
        <v>1329.8799999999999</v>
      </c>
    </row>
    <row r="31" spans="1:17" ht="12.75" customHeight="1" hidden="1">
      <c r="A31" s="345">
        <v>28</v>
      </c>
      <c r="B31" s="341" t="s">
        <v>32</v>
      </c>
      <c r="C31" s="212"/>
      <c r="D31" s="114"/>
      <c r="E31" s="95"/>
      <c r="F31" s="95"/>
      <c r="G31" s="98"/>
      <c r="H31" s="98"/>
      <c r="I31" s="98"/>
      <c r="J31" s="4"/>
      <c r="K31" s="29">
        <v>31</v>
      </c>
      <c r="L31" s="4"/>
      <c r="M31" s="4"/>
      <c r="N31" s="4"/>
      <c r="O31" s="1"/>
      <c r="P31" s="1"/>
      <c r="Q31" s="37">
        <f t="shared" si="0"/>
        <v>31</v>
      </c>
    </row>
    <row r="32" spans="1:17" ht="12.75" customHeight="1" hidden="1">
      <c r="A32" s="345">
        <v>29</v>
      </c>
      <c r="B32" s="341" t="s">
        <v>34</v>
      </c>
      <c r="C32" s="212"/>
      <c r="D32" s="114"/>
      <c r="E32" s="95"/>
      <c r="F32" s="95"/>
      <c r="G32" s="100"/>
      <c r="H32" s="100"/>
      <c r="I32" s="100"/>
      <c r="J32" s="4"/>
      <c r="K32" s="29">
        <v>147</v>
      </c>
      <c r="L32" s="4"/>
      <c r="M32" s="4"/>
      <c r="N32" s="4"/>
      <c r="O32" s="1"/>
      <c r="P32" s="1"/>
      <c r="Q32" s="37">
        <f t="shared" si="0"/>
        <v>147</v>
      </c>
    </row>
    <row r="33" spans="1:17" ht="12.75" customHeight="1" hidden="1">
      <c r="A33" s="345">
        <v>30</v>
      </c>
      <c r="B33" s="341" t="s">
        <v>68</v>
      </c>
      <c r="C33" s="191"/>
      <c r="D33" s="10"/>
      <c r="E33" s="96"/>
      <c r="F33" s="95"/>
      <c r="G33" s="96">
        <f>44.7*1.2-0.01</f>
        <v>53.63</v>
      </c>
      <c r="H33" s="96"/>
      <c r="I33" s="101"/>
      <c r="J33" s="4"/>
      <c r="K33" s="29"/>
      <c r="L33" s="29"/>
      <c r="M33" s="4"/>
      <c r="N33" s="4"/>
      <c r="O33" s="1"/>
      <c r="P33" s="1"/>
      <c r="Q33" s="37">
        <f t="shared" si="0"/>
        <v>53.63</v>
      </c>
    </row>
    <row r="34" spans="1:17" ht="12.75" customHeight="1" hidden="1" thickBot="1">
      <c r="A34" s="345">
        <v>31</v>
      </c>
      <c r="B34" s="341" t="s">
        <v>46</v>
      </c>
      <c r="C34" s="192"/>
      <c r="D34" s="52"/>
      <c r="E34" s="102"/>
      <c r="F34" s="102">
        <f>58+235.67</f>
        <v>293.66999999999996</v>
      </c>
      <c r="G34" s="108"/>
      <c r="H34" s="108"/>
      <c r="I34" s="104"/>
      <c r="J34" s="54"/>
      <c r="K34" s="55"/>
      <c r="L34" s="56"/>
      <c r="M34" s="54"/>
      <c r="N34" s="54"/>
      <c r="O34" s="57"/>
      <c r="P34" s="55"/>
      <c r="Q34" s="381">
        <f t="shared" si="0"/>
        <v>293.66999999999996</v>
      </c>
    </row>
    <row r="35" spans="1:17" ht="12.75" customHeight="1" hidden="1" thickBot="1">
      <c r="A35" s="343"/>
      <c r="B35" s="408" t="s">
        <v>12</v>
      </c>
      <c r="C35" s="330">
        <f>SUM(C4:C34)</f>
        <v>0</v>
      </c>
      <c r="D35" s="330">
        <f>SUM(D4:D34)</f>
        <v>0</v>
      </c>
      <c r="E35" s="331">
        <f aca="true" t="shared" si="1" ref="E35:P35">SUM(E4:E33)+E34</f>
        <v>47268</v>
      </c>
      <c r="F35" s="331">
        <f>SUM(F4:F33)+F34</f>
        <v>20016.439999999995</v>
      </c>
      <c r="G35" s="331">
        <f t="shared" si="1"/>
        <v>3471.575999999999</v>
      </c>
      <c r="H35" s="331"/>
      <c r="I35" s="331">
        <f t="shared" si="1"/>
        <v>0</v>
      </c>
      <c r="J35" s="331">
        <f t="shared" si="1"/>
        <v>283.8</v>
      </c>
      <c r="K35" s="331">
        <f t="shared" si="1"/>
        <v>73623.1</v>
      </c>
      <c r="L35" s="331">
        <f t="shared" si="1"/>
        <v>149961.94</v>
      </c>
      <c r="M35" s="331">
        <f t="shared" si="1"/>
        <v>0</v>
      </c>
      <c r="N35" s="331">
        <f t="shared" si="1"/>
        <v>56</v>
      </c>
      <c r="O35" s="331">
        <f t="shared" si="1"/>
        <v>0</v>
      </c>
      <c r="P35" s="331">
        <f t="shared" si="1"/>
        <v>0</v>
      </c>
      <c r="Q35" s="382">
        <f>SUM(Q4:Q34)</f>
        <v>294680.85599999997</v>
      </c>
    </row>
    <row r="36" spans="1:17" ht="12.75" customHeight="1" hidden="1" thickBot="1">
      <c r="A36" s="346"/>
      <c r="B36" s="80"/>
      <c r="C36" s="207">
        <v>2110</v>
      </c>
      <c r="D36" s="207">
        <v>2111</v>
      </c>
      <c r="E36" s="207">
        <v>2210</v>
      </c>
      <c r="F36" s="120">
        <v>2230</v>
      </c>
      <c r="G36" s="120">
        <v>2240</v>
      </c>
      <c r="H36" s="120"/>
      <c r="I36" s="120">
        <v>2271</v>
      </c>
      <c r="J36" s="15">
        <v>2272</v>
      </c>
      <c r="K36" s="15">
        <v>2273</v>
      </c>
      <c r="L36" s="121">
        <v>2274</v>
      </c>
      <c r="M36" s="121">
        <v>2275</v>
      </c>
      <c r="N36" s="121">
        <v>2800</v>
      </c>
      <c r="O36" s="121">
        <v>2730</v>
      </c>
      <c r="P36" s="15">
        <v>2282</v>
      </c>
      <c r="Q36" s="27">
        <f>E35+F35+G35+J35+K35+L35+M35+O35+P35+I35+D35+C35+N35</f>
        <v>294680.856</v>
      </c>
    </row>
    <row r="37" spans="2:17" ht="12.75" customHeight="1" hidden="1">
      <c r="B37" s="63" t="s">
        <v>42</v>
      </c>
      <c r="C37" s="334"/>
      <c r="D37" s="334"/>
      <c r="E37" s="335">
        <v>0</v>
      </c>
      <c r="F37" s="188">
        <f>20016.44</f>
        <v>20016.44</v>
      </c>
      <c r="G37" s="188">
        <f>3471.58</f>
        <v>3471.58</v>
      </c>
      <c r="H37" s="188"/>
      <c r="I37" s="335">
        <v>0</v>
      </c>
      <c r="J37" s="188">
        <f>283.8</f>
        <v>283.8</v>
      </c>
      <c r="K37" s="188">
        <f>54387.04+19236.06</f>
        <v>73623.1</v>
      </c>
      <c r="L37" s="188">
        <f>149961.94</f>
        <v>149961.94</v>
      </c>
      <c r="M37" s="336">
        <v>0</v>
      </c>
      <c r="N37" s="336">
        <f>56</f>
        <v>56</v>
      </c>
      <c r="O37" s="188"/>
      <c r="P37" s="190"/>
      <c r="Q37" s="62">
        <f>SUM(E37:P37)</f>
        <v>247412.86</v>
      </c>
    </row>
    <row r="38" spans="2:17" ht="12.75" customHeight="1" hidden="1">
      <c r="B38" s="337" t="s">
        <v>12</v>
      </c>
      <c r="C38" s="328"/>
      <c r="D38" s="328"/>
      <c r="E38" s="338">
        <f aca="true" t="shared" si="2" ref="E38:N38">SUM(E37:E37)</f>
        <v>0</v>
      </c>
      <c r="F38" s="338">
        <f t="shared" si="2"/>
        <v>20016.44</v>
      </c>
      <c r="G38" s="338">
        <f t="shared" si="2"/>
        <v>3471.58</v>
      </c>
      <c r="H38" s="338"/>
      <c r="I38" s="338">
        <f t="shared" si="2"/>
        <v>0</v>
      </c>
      <c r="J38" s="338">
        <f t="shared" si="2"/>
        <v>283.8</v>
      </c>
      <c r="K38" s="338">
        <f t="shared" si="2"/>
        <v>73623.1</v>
      </c>
      <c r="L38" s="338">
        <f t="shared" si="2"/>
        <v>149961.94</v>
      </c>
      <c r="M38" s="338">
        <f t="shared" si="2"/>
        <v>0</v>
      </c>
      <c r="N38" s="338">
        <f t="shared" si="2"/>
        <v>56</v>
      </c>
      <c r="O38" s="338"/>
      <c r="P38" s="338"/>
      <c r="Q38" s="338">
        <f>SUM(C38:P38)</f>
        <v>247412.86</v>
      </c>
    </row>
    <row r="39" spans="2:17" ht="12.75" customHeight="1" hidden="1"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</row>
    <row r="40" spans="2:17" ht="12.75" customHeight="1" hidden="1" thickBot="1">
      <c r="B40" s="436" t="s">
        <v>69</v>
      </c>
      <c r="C40" s="436"/>
      <c r="D40" s="436"/>
      <c r="E40" s="436"/>
      <c r="F40" s="436"/>
      <c r="G40" s="436"/>
      <c r="H40" s="436"/>
      <c r="I40" s="436"/>
      <c r="J40" s="436"/>
      <c r="K40" s="436"/>
      <c r="L40" s="436"/>
      <c r="M40" s="436"/>
      <c r="N40" s="436"/>
      <c r="O40" s="436"/>
      <c r="P40" s="436"/>
      <c r="Q40" s="436"/>
    </row>
    <row r="41" spans="1:17" ht="12.75" customHeight="1" hidden="1" thickBot="1">
      <c r="A41" s="343"/>
      <c r="B41" s="407" t="s">
        <v>36</v>
      </c>
      <c r="C41" s="425">
        <v>2110</v>
      </c>
      <c r="D41" s="425">
        <v>2111</v>
      </c>
      <c r="E41" s="425">
        <v>2210</v>
      </c>
      <c r="F41" s="426">
        <v>2230</v>
      </c>
      <c r="G41" s="426">
        <v>2240</v>
      </c>
      <c r="H41" s="426">
        <v>2250</v>
      </c>
      <c r="I41" s="426">
        <v>2271</v>
      </c>
      <c r="J41" s="427">
        <v>2272</v>
      </c>
      <c r="K41" s="427">
        <v>2273</v>
      </c>
      <c r="L41" s="428">
        <v>2274</v>
      </c>
      <c r="M41" s="428">
        <v>2275</v>
      </c>
      <c r="N41" s="428">
        <v>2800</v>
      </c>
      <c r="O41" s="428">
        <v>2730</v>
      </c>
      <c r="P41" s="429">
        <v>2282</v>
      </c>
      <c r="Q41" s="365" t="s">
        <v>35</v>
      </c>
    </row>
    <row r="42" spans="1:17" ht="12.75" customHeight="1" hidden="1">
      <c r="A42" s="395">
        <v>1</v>
      </c>
      <c r="B42" s="392" t="s">
        <v>0</v>
      </c>
      <c r="C42" s="222"/>
      <c r="D42" s="92"/>
      <c r="E42" s="265"/>
      <c r="F42" s="265">
        <f>2335.9+356.26</f>
        <v>2692.16</v>
      </c>
      <c r="G42" s="92">
        <f>139+80.9+102.07</f>
        <v>321.97</v>
      </c>
      <c r="H42" s="92"/>
      <c r="I42" s="94"/>
      <c r="J42" s="209"/>
      <c r="K42" s="28">
        <v>1024</v>
      </c>
      <c r="L42" s="46"/>
      <c r="M42" s="28"/>
      <c r="N42" s="28">
        <f>10.16</f>
        <v>10.16</v>
      </c>
      <c r="O42" s="46"/>
      <c r="P42" s="389"/>
      <c r="Q42" s="383">
        <f aca="true" t="shared" si="3" ref="Q42:Q72">SUM(E42:P42)</f>
        <v>4048.29</v>
      </c>
    </row>
    <row r="43" spans="1:17" ht="12.75" customHeight="1" hidden="1">
      <c r="A43" s="396">
        <v>2</v>
      </c>
      <c r="B43" s="393" t="s">
        <v>1</v>
      </c>
      <c r="C43" s="107"/>
      <c r="D43" s="96"/>
      <c r="E43" s="114">
        <f>6499+(3500*1.2)</f>
        <v>10699</v>
      </c>
      <c r="F43" s="279">
        <f>3587.73+948.61</f>
        <v>4536.34</v>
      </c>
      <c r="G43" s="95">
        <f>135+80.9</f>
        <v>215.9</v>
      </c>
      <c r="H43" s="95"/>
      <c r="I43" s="96"/>
      <c r="J43" s="4"/>
      <c r="K43" s="29">
        <v>3276</v>
      </c>
      <c r="L43" s="29">
        <v>62136.35</v>
      </c>
      <c r="M43" s="29"/>
      <c r="N43" s="29">
        <f>10.17</f>
        <v>10.17</v>
      </c>
      <c r="O43" s="4"/>
      <c r="P43" s="390"/>
      <c r="Q43" s="384">
        <f t="shared" si="3"/>
        <v>80873.76</v>
      </c>
    </row>
    <row r="44" spans="1:17" ht="12.75" customHeight="1" hidden="1">
      <c r="A44" s="396">
        <v>3</v>
      </c>
      <c r="B44" s="393" t="s">
        <v>2</v>
      </c>
      <c r="C44" s="107"/>
      <c r="D44" s="96"/>
      <c r="E44" s="114">
        <f>1680.28+(2625*1.2)</f>
        <v>4830.28</v>
      </c>
      <c r="F44" s="279">
        <f>5327.85</f>
        <v>5327.85</v>
      </c>
      <c r="G44" s="95">
        <f>80.9+93.51+250+229</f>
        <v>653.4100000000001</v>
      </c>
      <c r="H44" s="95">
        <f>225.6+123.34+119.98+119.12</f>
        <v>588.04</v>
      </c>
      <c r="I44" s="95"/>
      <c r="J44" s="4"/>
      <c r="K44" s="29">
        <v>13280</v>
      </c>
      <c r="L44" s="29"/>
      <c r="M44" s="29"/>
      <c r="N44" s="29">
        <v>18.4</v>
      </c>
      <c r="O44" s="4"/>
      <c r="P44" s="390"/>
      <c r="Q44" s="384">
        <f t="shared" si="3"/>
        <v>24697.980000000003</v>
      </c>
    </row>
    <row r="45" spans="1:17" ht="12.75" customHeight="1" hidden="1">
      <c r="A45" s="396">
        <v>4</v>
      </c>
      <c r="B45" s="393" t="s">
        <v>3</v>
      </c>
      <c r="C45" s="198"/>
      <c r="D45" s="96"/>
      <c r="E45" s="114"/>
      <c r="F45" s="279">
        <f>2172.43</f>
        <v>2172.43</v>
      </c>
      <c r="G45" s="95">
        <f>149+149+80.9</f>
        <v>378.9</v>
      </c>
      <c r="H45" s="95"/>
      <c r="I45" s="95"/>
      <c r="J45" s="4"/>
      <c r="K45" s="29">
        <v>2524</v>
      </c>
      <c r="L45" s="29">
        <v>47881.81</v>
      </c>
      <c r="M45" s="29"/>
      <c r="N45" s="29">
        <f>10.16</f>
        <v>10.16</v>
      </c>
      <c r="O45" s="4"/>
      <c r="P45" s="390"/>
      <c r="Q45" s="384">
        <f t="shared" si="3"/>
        <v>52967.3</v>
      </c>
    </row>
    <row r="46" spans="1:17" ht="12.75" customHeight="1" hidden="1">
      <c r="A46" s="396">
        <v>5</v>
      </c>
      <c r="B46" s="393" t="s">
        <v>4</v>
      </c>
      <c r="C46" s="198"/>
      <c r="D46" s="96"/>
      <c r="E46" s="114"/>
      <c r="F46" s="279">
        <f>891.7</f>
        <v>891.7</v>
      </c>
      <c r="G46" s="95">
        <f>80.9</f>
        <v>80.9</v>
      </c>
      <c r="H46" s="95"/>
      <c r="I46" s="95"/>
      <c r="J46" s="4"/>
      <c r="K46" s="29">
        <v>3348</v>
      </c>
      <c r="L46" s="29"/>
      <c r="M46" s="29"/>
      <c r="N46" s="29">
        <f>10.17</f>
        <v>10.17</v>
      </c>
      <c r="O46" s="4"/>
      <c r="P46" s="390"/>
      <c r="Q46" s="384">
        <f t="shared" si="3"/>
        <v>4330.77</v>
      </c>
    </row>
    <row r="47" spans="1:17" ht="12.75" customHeight="1" hidden="1">
      <c r="A47" s="396">
        <v>6</v>
      </c>
      <c r="B47" s="393" t="s">
        <v>5</v>
      </c>
      <c r="C47" s="107"/>
      <c r="D47" s="96"/>
      <c r="E47" s="114">
        <f>485+(7875*1.2)</f>
        <v>9935</v>
      </c>
      <c r="F47" s="279">
        <f>9076.25+2451.13</f>
        <v>11527.380000000001</v>
      </c>
      <c r="G47" s="95">
        <f>308.03+527.06+583.2</f>
        <v>1418.29</v>
      </c>
      <c r="H47" s="95"/>
      <c r="I47" s="95"/>
      <c r="J47" s="29">
        <f>2201.47+2250.61+3816.96+3902.16</f>
        <v>12171.2</v>
      </c>
      <c r="K47" s="29">
        <v>21175.66</v>
      </c>
      <c r="L47" s="29"/>
      <c r="M47" s="29"/>
      <c r="N47" s="29">
        <f>0.04+10.16</f>
        <v>10.2</v>
      </c>
      <c r="O47" s="4"/>
      <c r="P47" s="390"/>
      <c r="Q47" s="384">
        <f t="shared" si="3"/>
        <v>56237.729999999996</v>
      </c>
    </row>
    <row r="48" spans="1:17" ht="12.75" customHeight="1" hidden="1">
      <c r="A48" s="396">
        <v>7</v>
      </c>
      <c r="B48" s="393" t="s">
        <v>6</v>
      </c>
      <c r="C48" s="198"/>
      <c r="D48" s="96"/>
      <c r="E48" s="114"/>
      <c r="F48" s="279">
        <f>1880.28</f>
        <v>1880.28</v>
      </c>
      <c r="G48" s="95">
        <f>80+200+70.77</f>
        <v>350.77</v>
      </c>
      <c r="H48" s="95"/>
      <c r="I48" s="95"/>
      <c r="J48" s="36">
        <f>662.2</f>
        <v>662.2</v>
      </c>
      <c r="K48" s="29">
        <v>6394</v>
      </c>
      <c r="L48" s="36"/>
      <c r="M48" s="29">
        <v>4994.22</v>
      </c>
      <c r="N48" s="29">
        <f>10.17</f>
        <v>10.17</v>
      </c>
      <c r="O48" s="4"/>
      <c r="P48" s="390"/>
      <c r="Q48" s="384">
        <f t="shared" si="3"/>
        <v>14291.640000000001</v>
      </c>
    </row>
    <row r="49" spans="1:17" ht="12.75" customHeight="1" hidden="1">
      <c r="A49" s="396">
        <v>8</v>
      </c>
      <c r="B49" s="393" t="s">
        <v>7</v>
      </c>
      <c r="C49" s="198"/>
      <c r="D49" s="96"/>
      <c r="E49" s="114"/>
      <c r="F49" s="279">
        <f>962.56</f>
        <v>962.56</v>
      </c>
      <c r="G49" s="95">
        <f>229+90.59</f>
        <v>319.59000000000003</v>
      </c>
      <c r="H49" s="95"/>
      <c r="I49" s="96"/>
      <c r="J49" s="29">
        <f>442.9</f>
        <v>442.9</v>
      </c>
      <c r="K49" s="29">
        <v>8479</v>
      </c>
      <c r="L49" s="36"/>
      <c r="M49" s="29"/>
      <c r="N49" s="29">
        <f>10.16</f>
        <v>10.16</v>
      </c>
      <c r="O49" s="4"/>
      <c r="P49" s="390"/>
      <c r="Q49" s="384">
        <f t="shared" si="3"/>
        <v>10214.21</v>
      </c>
    </row>
    <row r="50" spans="1:17" ht="12.75" customHeight="1" hidden="1">
      <c r="A50" s="396">
        <v>9</v>
      </c>
      <c r="B50" s="393" t="s">
        <v>8</v>
      </c>
      <c r="C50" s="198"/>
      <c r="D50" s="96"/>
      <c r="E50" s="95"/>
      <c r="F50" s="279">
        <f>2049.9</f>
        <v>2049.9</v>
      </c>
      <c r="G50" s="95">
        <f>80.9+80.9+153.97</f>
        <v>315.77</v>
      </c>
      <c r="H50" s="95"/>
      <c r="I50" s="96"/>
      <c r="J50" s="29"/>
      <c r="K50" s="29">
        <v>4113</v>
      </c>
      <c r="L50" s="36"/>
      <c r="M50" s="29"/>
      <c r="N50" s="29">
        <f>10.17</f>
        <v>10.17</v>
      </c>
      <c r="O50" s="4"/>
      <c r="P50" s="390"/>
      <c r="Q50" s="384">
        <f t="shared" si="3"/>
        <v>6488.84</v>
      </c>
    </row>
    <row r="51" spans="1:17" ht="12.75" customHeight="1" hidden="1">
      <c r="A51" s="396">
        <v>10</v>
      </c>
      <c r="B51" s="393" t="s">
        <v>9</v>
      </c>
      <c r="C51" s="107"/>
      <c r="D51" s="96"/>
      <c r="E51" s="95">
        <f>4550*1.2</f>
        <v>5460</v>
      </c>
      <c r="F51" s="279">
        <f>3987.15</f>
        <v>3987.15</v>
      </c>
      <c r="G51" s="95">
        <f>100+100+80.9</f>
        <v>280.9</v>
      </c>
      <c r="H51" s="95"/>
      <c r="I51" s="95"/>
      <c r="J51" s="29"/>
      <c r="K51" s="29">
        <v>4356</v>
      </c>
      <c r="L51" s="29">
        <v>62541.64</v>
      </c>
      <c r="M51" s="29"/>
      <c r="N51" s="29">
        <f>10.16</f>
        <v>10.16</v>
      </c>
      <c r="O51" s="4"/>
      <c r="P51" s="390"/>
      <c r="Q51" s="384">
        <f t="shared" si="3"/>
        <v>76635.85</v>
      </c>
    </row>
    <row r="52" spans="1:17" ht="12.75" customHeight="1" hidden="1">
      <c r="A52" s="396">
        <v>11</v>
      </c>
      <c r="B52" s="393" t="s">
        <v>10</v>
      </c>
      <c r="C52" s="198"/>
      <c r="D52" s="96"/>
      <c r="E52" s="95"/>
      <c r="F52" s="279">
        <f>1997.99</f>
        <v>1997.99</v>
      </c>
      <c r="G52" s="95">
        <f>139+83.54</f>
        <v>222.54000000000002</v>
      </c>
      <c r="H52" s="95"/>
      <c r="I52" s="95"/>
      <c r="J52" s="29">
        <v>583.94</v>
      </c>
      <c r="K52" s="29">
        <v>1407</v>
      </c>
      <c r="L52" s="36"/>
      <c r="M52" s="36"/>
      <c r="N52" s="36">
        <f>10.17</f>
        <v>10.17</v>
      </c>
      <c r="O52" s="4"/>
      <c r="P52" s="390"/>
      <c r="Q52" s="384">
        <f t="shared" si="3"/>
        <v>4221.64</v>
      </c>
    </row>
    <row r="53" spans="1:17" ht="12.75" customHeight="1" hidden="1">
      <c r="A53" s="396">
        <v>12</v>
      </c>
      <c r="B53" s="393" t="s">
        <v>11</v>
      </c>
      <c r="C53" s="198"/>
      <c r="D53" s="96"/>
      <c r="E53" s="95">
        <f>2625*1.2</f>
        <v>3150</v>
      </c>
      <c r="F53" s="279">
        <f>4214.35</f>
        <v>4214.35</v>
      </c>
      <c r="G53" s="95">
        <f>80.9+229+229</f>
        <v>538.9</v>
      </c>
      <c r="H53" s="95">
        <f>1162.5+134.05</f>
        <v>1296.55</v>
      </c>
      <c r="I53" s="96"/>
      <c r="J53" s="29"/>
      <c r="K53" s="29">
        <v>7673</v>
      </c>
      <c r="L53" s="29">
        <f>85967.25+61754.59</f>
        <v>147721.84</v>
      </c>
      <c r="M53" s="36"/>
      <c r="N53" s="36">
        <v>18.41</v>
      </c>
      <c r="O53" s="4"/>
      <c r="P53" s="390"/>
      <c r="Q53" s="384">
        <f t="shared" si="3"/>
        <v>164613.05</v>
      </c>
    </row>
    <row r="54" spans="1:17" ht="12.75" customHeight="1" hidden="1">
      <c r="A54" s="396">
        <v>13</v>
      </c>
      <c r="B54" s="393" t="s">
        <v>13</v>
      </c>
      <c r="C54" s="198"/>
      <c r="D54" s="96"/>
      <c r="E54" s="95"/>
      <c r="F54" s="279"/>
      <c r="G54" s="95">
        <f>55.36</f>
        <v>55.36</v>
      </c>
      <c r="H54" s="95"/>
      <c r="I54" s="95"/>
      <c r="J54" s="29"/>
      <c r="K54" s="29">
        <v>1706</v>
      </c>
      <c r="L54" s="36">
        <v>34727.34</v>
      </c>
      <c r="M54" s="36"/>
      <c r="N54" s="29">
        <f>10.16</f>
        <v>10.16</v>
      </c>
      <c r="O54" s="4"/>
      <c r="P54" s="390"/>
      <c r="Q54" s="384">
        <f t="shared" si="3"/>
        <v>36498.86</v>
      </c>
    </row>
    <row r="55" spans="1:17" ht="12.75" customHeight="1" hidden="1">
      <c r="A55" s="396">
        <v>14</v>
      </c>
      <c r="B55" s="393" t="s">
        <v>14</v>
      </c>
      <c r="C55" s="198"/>
      <c r="D55" s="96"/>
      <c r="E55" s="95">
        <f>1245+(2905*1.2)</f>
        <v>4731</v>
      </c>
      <c r="F55" s="279">
        <f>1834.63</f>
        <v>1834.63</v>
      </c>
      <c r="G55" s="95">
        <f>583.2+80.9</f>
        <v>664.1</v>
      </c>
      <c r="H55" s="95"/>
      <c r="I55" s="96"/>
      <c r="J55" s="29">
        <f>266.6</f>
        <v>266.6</v>
      </c>
      <c r="K55" s="29">
        <v>2021</v>
      </c>
      <c r="L55" s="36"/>
      <c r="M55" s="36"/>
      <c r="N55" s="29">
        <f>10.17</f>
        <v>10.17</v>
      </c>
      <c r="O55" s="4"/>
      <c r="P55" s="390"/>
      <c r="Q55" s="384">
        <f t="shared" si="3"/>
        <v>9527.500000000002</v>
      </c>
    </row>
    <row r="56" spans="1:17" ht="12.75" customHeight="1" hidden="1">
      <c r="A56" s="396">
        <v>15</v>
      </c>
      <c r="B56" s="393" t="s">
        <v>15</v>
      </c>
      <c r="C56" s="198"/>
      <c r="D56" s="96"/>
      <c r="E56" s="95"/>
      <c r="F56" s="279">
        <f>410.96</f>
        <v>410.96</v>
      </c>
      <c r="G56" s="95">
        <f>139+139+139+80.9</f>
        <v>497.9</v>
      </c>
      <c r="H56" s="95"/>
      <c r="I56" s="95"/>
      <c r="J56" s="36"/>
      <c r="K56" s="29">
        <v>2087</v>
      </c>
      <c r="L56" s="36"/>
      <c r="M56" s="29"/>
      <c r="N56" s="29">
        <f>10.16</f>
        <v>10.16</v>
      </c>
      <c r="O56" s="4"/>
      <c r="P56" s="390"/>
      <c r="Q56" s="384">
        <f t="shared" si="3"/>
        <v>3006.0199999999995</v>
      </c>
    </row>
    <row r="57" spans="1:17" ht="12.75" customHeight="1" hidden="1">
      <c r="A57" s="396">
        <v>16</v>
      </c>
      <c r="B57" s="393" t="s">
        <v>16</v>
      </c>
      <c r="C57" s="198"/>
      <c r="D57" s="96"/>
      <c r="E57" s="95"/>
      <c r="F57" s="279">
        <f>2442.16</f>
        <v>2442.16</v>
      </c>
      <c r="G57" s="95">
        <f>80.9</f>
        <v>80.9</v>
      </c>
      <c r="H57" s="95"/>
      <c r="I57" s="96"/>
      <c r="J57" s="4"/>
      <c r="K57" s="29">
        <v>3581</v>
      </c>
      <c r="L57" s="36"/>
      <c r="M57" s="29"/>
      <c r="N57" s="29">
        <v>18.41</v>
      </c>
      <c r="O57" s="4"/>
      <c r="P57" s="390"/>
      <c r="Q57" s="384">
        <f t="shared" si="3"/>
        <v>6122.469999999999</v>
      </c>
    </row>
    <row r="58" spans="1:17" ht="12.75" customHeight="1" hidden="1">
      <c r="A58" s="396">
        <v>17</v>
      </c>
      <c r="B58" s="393" t="s">
        <v>17</v>
      </c>
      <c r="C58" s="198"/>
      <c r="D58" s="96"/>
      <c r="E58" s="95">
        <f>3500*1.2</f>
        <v>4200</v>
      </c>
      <c r="F58" s="279">
        <f>972.45</f>
        <v>972.45</v>
      </c>
      <c r="G58" s="95">
        <f>100+100+583.2+80.9</f>
        <v>864.1</v>
      </c>
      <c r="H58" s="95"/>
      <c r="I58" s="95"/>
      <c r="J58" s="4"/>
      <c r="K58" s="29">
        <v>3872</v>
      </c>
      <c r="L58" s="36"/>
      <c r="M58" s="29"/>
      <c r="N58" s="29">
        <f>10.17</f>
        <v>10.17</v>
      </c>
      <c r="O58" s="4"/>
      <c r="P58" s="390"/>
      <c r="Q58" s="384">
        <f t="shared" si="3"/>
        <v>9918.72</v>
      </c>
    </row>
    <row r="59" spans="1:17" ht="12.75" customHeight="1" hidden="1">
      <c r="A59" s="396">
        <v>18</v>
      </c>
      <c r="B59" s="393" t="s">
        <v>18</v>
      </c>
      <c r="C59" s="198"/>
      <c r="D59" s="96"/>
      <c r="E59" s="95"/>
      <c r="F59" s="279">
        <f>890.59+271.18</f>
        <v>1161.77</v>
      </c>
      <c r="G59" s="95">
        <f>84.23+153.97</f>
        <v>238.2</v>
      </c>
      <c r="H59" s="95"/>
      <c r="I59" s="95"/>
      <c r="J59" s="36">
        <v>505.25</v>
      </c>
      <c r="K59" s="29">
        <v>2696</v>
      </c>
      <c r="L59" s="29">
        <v>38386.51</v>
      </c>
      <c r="M59" s="29"/>
      <c r="N59" s="29">
        <f>10.16</f>
        <v>10.16</v>
      </c>
      <c r="O59" s="4"/>
      <c r="P59" s="390"/>
      <c r="Q59" s="384">
        <f t="shared" si="3"/>
        <v>42997.89000000001</v>
      </c>
    </row>
    <row r="60" spans="1:17" ht="12.75" customHeight="1" hidden="1">
      <c r="A60" s="396">
        <v>19</v>
      </c>
      <c r="B60" s="393" t="s">
        <v>19</v>
      </c>
      <c r="C60" s="198"/>
      <c r="D60" s="96"/>
      <c r="E60" s="95"/>
      <c r="F60" s="279">
        <f>1935.04+198.54</f>
        <v>2133.58</v>
      </c>
      <c r="G60" s="95">
        <f>80.91</f>
        <v>80.91</v>
      </c>
      <c r="H60" s="95"/>
      <c r="I60" s="95"/>
      <c r="J60" s="4"/>
      <c r="K60" s="29">
        <v>1223</v>
      </c>
      <c r="L60" s="36"/>
      <c r="M60" s="4"/>
      <c r="N60" s="29">
        <f>10.17</f>
        <v>10.17</v>
      </c>
      <c r="O60" s="4"/>
      <c r="P60" s="390"/>
      <c r="Q60" s="384">
        <f t="shared" si="3"/>
        <v>3447.66</v>
      </c>
    </row>
    <row r="61" spans="1:17" ht="12.75" customHeight="1" hidden="1">
      <c r="A61" s="396">
        <v>20</v>
      </c>
      <c r="B61" s="393" t="s">
        <v>20</v>
      </c>
      <c r="C61" s="198"/>
      <c r="D61" s="96"/>
      <c r="E61" s="95"/>
      <c r="F61" s="279">
        <f>412.53</f>
        <v>412.53</v>
      </c>
      <c r="G61" s="95">
        <f>17.08-0.02</f>
        <v>17.06</v>
      </c>
      <c r="H61" s="95"/>
      <c r="I61" s="96"/>
      <c r="J61" s="4"/>
      <c r="K61" s="29">
        <v>6829</v>
      </c>
      <c r="L61" s="36"/>
      <c r="M61" s="4"/>
      <c r="N61" s="29">
        <f>10.16</f>
        <v>10.16</v>
      </c>
      <c r="O61" s="4"/>
      <c r="P61" s="390"/>
      <c r="Q61" s="384">
        <f t="shared" si="3"/>
        <v>7268.75</v>
      </c>
    </row>
    <row r="62" spans="1:17" ht="12.75" customHeight="1" hidden="1">
      <c r="A62" s="396">
        <v>21</v>
      </c>
      <c r="B62" s="393" t="s">
        <v>21</v>
      </c>
      <c r="C62" s="198"/>
      <c r="D62" s="96"/>
      <c r="E62" s="95"/>
      <c r="F62" s="279">
        <f>107</f>
        <v>107</v>
      </c>
      <c r="G62" s="95">
        <f>120+80.91</f>
        <v>200.91</v>
      </c>
      <c r="H62" s="95"/>
      <c r="I62" s="95"/>
      <c r="J62" s="29">
        <f>107.5</f>
        <v>107.5</v>
      </c>
      <c r="K62" s="29">
        <v>3317</v>
      </c>
      <c r="L62" s="36"/>
      <c r="M62" s="29"/>
      <c r="N62" s="29">
        <f>10.17</f>
        <v>10.17</v>
      </c>
      <c r="O62" s="4"/>
      <c r="P62" s="390"/>
      <c r="Q62" s="384">
        <f t="shared" si="3"/>
        <v>3742.58</v>
      </c>
    </row>
    <row r="63" spans="1:17" ht="12.75" customHeight="1" hidden="1">
      <c r="A63" s="396">
        <v>22</v>
      </c>
      <c r="B63" s="393" t="s">
        <v>22</v>
      </c>
      <c r="C63" s="107"/>
      <c r="D63" s="96"/>
      <c r="E63" s="95"/>
      <c r="F63" s="279">
        <v>1203.51</v>
      </c>
      <c r="G63" s="95">
        <f>80.91</f>
        <v>80.91</v>
      </c>
      <c r="H63" s="95">
        <f>182.4</f>
        <v>182.4</v>
      </c>
      <c r="I63" s="95"/>
      <c r="J63" s="4"/>
      <c r="K63" s="29">
        <v>2440</v>
      </c>
      <c r="L63" s="36"/>
      <c r="M63" s="29"/>
      <c r="N63" s="29">
        <v>18.41</v>
      </c>
      <c r="O63" s="4"/>
      <c r="P63" s="390"/>
      <c r="Q63" s="384">
        <f t="shared" si="3"/>
        <v>3925.23</v>
      </c>
    </row>
    <row r="64" spans="1:17" ht="12.75" customHeight="1" hidden="1">
      <c r="A64" s="396">
        <v>23</v>
      </c>
      <c r="B64" s="393" t="s">
        <v>23</v>
      </c>
      <c r="C64" s="198"/>
      <c r="D64" s="96"/>
      <c r="E64" s="95"/>
      <c r="F64" s="279">
        <f>1127.37+169.07</f>
        <v>1296.4399999999998</v>
      </c>
      <c r="G64" s="95">
        <f>93.93+153.97</f>
        <v>247.9</v>
      </c>
      <c r="H64" s="95"/>
      <c r="I64" s="96"/>
      <c r="J64" s="4"/>
      <c r="K64" s="29">
        <v>818</v>
      </c>
      <c r="L64" s="36">
        <f>20438.06-0.01</f>
        <v>20438.050000000003</v>
      </c>
      <c r="M64" s="4"/>
      <c r="N64" s="36">
        <v>10.16</v>
      </c>
      <c r="O64" s="4"/>
      <c r="P64" s="390"/>
      <c r="Q64" s="384">
        <f t="shared" si="3"/>
        <v>22810.550000000003</v>
      </c>
    </row>
    <row r="65" spans="1:17" ht="12.75" customHeight="1" hidden="1">
      <c r="A65" s="396">
        <v>24</v>
      </c>
      <c r="B65" s="393" t="s">
        <v>25</v>
      </c>
      <c r="C65" s="198"/>
      <c r="D65" s="96"/>
      <c r="E65" s="95"/>
      <c r="F65" s="279"/>
      <c r="G65" s="95"/>
      <c r="H65" s="95"/>
      <c r="I65" s="96"/>
      <c r="J65" s="4"/>
      <c r="K65" s="29">
        <v>189</v>
      </c>
      <c r="L65" s="4"/>
      <c r="M65" s="4"/>
      <c r="N65" s="29">
        <v>18.41</v>
      </c>
      <c r="O65" s="4"/>
      <c r="P65" s="390"/>
      <c r="Q65" s="384">
        <f t="shared" si="3"/>
        <v>207.41</v>
      </c>
    </row>
    <row r="66" spans="1:17" ht="12.75" customHeight="1" hidden="1">
      <c r="A66" s="396">
        <v>25</v>
      </c>
      <c r="B66" s="393" t="s">
        <v>26</v>
      </c>
      <c r="C66" s="198"/>
      <c r="D66" s="96"/>
      <c r="E66" s="95"/>
      <c r="F66" s="279"/>
      <c r="G66" s="95"/>
      <c r="H66" s="95"/>
      <c r="I66" s="96"/>
      <c r="J66" s="4"/>
      <c r="K66" s="29">
        <v>153</v>
      </c>
      <c r="L66" s="4"/>
      <c r="M66" s="29"/>
      <c r="N66" s="29">
        <f>10.17</f>
        <v>10.17</v>
      </c>
      <c r="O66" s="4"/>
      <c r="P66" s="390"/>
      <c r="Q66" s="384">
        <f t="shared" si="3"/>
        <v>163.17</v>
      </c>
    </row>
    <row r="67" spans="1:17" ht="12.75" customHeight="1" hidden="1">
      <c r="A67" s="396">
        <v>26</v>
      </c>
      <c r="B67" s="393" t="s">
        <v>29</v>
      </c>
      <c r="C67" s="107"/>
      <c r="D67" s="96"/>
      <c r="E67" s="95"/>
      <c r="F67" s="279"/>
      <c r="G67" s="95"/>
      <c r="H67" s="95"/>
      <c r="I67" s="98"/>
      <c r="J67" s="4"/>
      <c r="K67" s="29">
        <v>77</v>
      </c>
      <c r="L67" s="4"/>
      <c r="M67" s="4"/>
      <c r="N67" s="29">
        <f>10.16</f>
        <v>10.16</v>
      </c>
      <c r="O67" s="4"/>
      <c r="P67" s="390"/>
      <c r="Q67" s="384">
        <f t="shared" si="3"/>
        <v>87.16</v>
      </c>
    </row>
    <row r="68" spans="1:17" ht="12.75" customHeight="1" hidden="1">
      <c r="A68" s="396">
        <v>27</v>
      </c>
      <c r="B68" s="393" t="s">
        <v>31</v>
      </c>
      <c r="C68" s="198"/>
      <c r="D68" s="96"/>
      <c r="E68" s="95"/>
      <c r="F68" s="279">
        <f>788.34</f>
        <v>788.34</v>
      </c>
      <c r="G68" s="95"/>
      <c r="H68" s="95"/>
      <c r="I68" s="98"/>
      <c r="J68" s="4"/>
      <c r="K68" s="29">
        <v>1115</v>
      </c>
      <c r="L68" s="36">
        <v>1354.82</v>
      </c>
      <c r="M68" s="4"/>
      <c r="N68" s="29">
        <f>10.17</f>
        <v>10.17</v>
      </c>
      <c r="O68" s="4"/>
      <c r="P68" s="390"/>
      <c r="Q68" s="384">
        <f t="shared" si="3"/>
        <v>3268.33</v>
      </c>
    </row>
    <row r="69" spans="1:17" ht="12.75" customHeight="1" hidden="1">
      <c r="A69" s="396">
        <v>28</v>
      </c>
      <c r="B69" s="393" t="s">
        <v>32</v>
      </c>
      <c r="C69" s="198"/>
      <c r="D69" s="96"/>
      <c r="E69" s="95"/>
      <c r="F69" s="95"/>
      <c r="G69" s="95"/>
      <c r="H69" s="95"/>
      <c r="I69" s="98"/>
      <c r="J69" s="4"/>
      <c r="K69" s="29">
        <v>56</v>
      </c>
      <c r="L69" s="4"/>
      <c r="M69" s="4"/>
      <c r="N69" s="36">
        <v>10.16</v>
      </c>
      <c r="O69" s="4"/>
      <c r="P69" s="390"/>
      <c r="Q69" s="384">
        <f t="shared" si="3"/>
        <v>66.16</v>
      </c>
    </row>
    <row r="70" spans="1:17" ht="12.75" customHeight="1" hidden="1">
      <c r="A70" s="396">
        <v>29</v>
      </c>
      <c r="B70" s="393" t="s">
        <v>34</v>
      </c>
      <c r="C70" s="198"/>
      <c r="D70" s="96"/>
      <c r="E70" s="95"/>
      <c r="F70" s="95"/>
      <c r="G70" s="95"/>
      <c r="H70" s="95"/>
      <c r="I70" s="100"/>
      <c r="J70" s="4"/>
      <c r="K70" s="29">
        <v>148</v>
      </c>
      <c r="L70" s="4"/>
      <c r="M70" s="4"/>
      <c r="N70" s="36">
        <v>10.17</v>
      </c>
      <c r="O70" s="4"/>
      <c r="P70" s="390"/>
      <c r="Q70" s="384">
        <f t="shared" si="3"/>
        <v>158.17</v>
      </c>
    </row>
    <row r="71" spans="1:17" ht="12.75" customHeight="1" hidden="1">
      <c r="A71" s="396">
        <v>30</v>
      </c>
      <c r="B71" s="393" t="s">
        <v>68</v>
      </c>
      <c r="C71" s="198"/>
      <c r="D71" s="96"/>
      <c r="E71" s="96"/>
      <c r="F71" s="95"/>
      <c r="G71" s="96">
        <f>80.91</f>
        <v>80.91</v>
      </c>
      <c r="H71" s="100"/>
      <c r="I71" s="101"/>
      <c r="J71" s="4"/>
      <c r="K71" s="29"/>
      <c r="L71" s="109"/>
      <c r="M71" s="4"/>
      <c r="N71" s="4"/>
      <c r="O71" s="4"/>
      <c r="P71" s="390"/>
      <c r="Q71" s="384">
        <f t="shared" si="3"/>
        <v>80.91</v>
      </c>
    </row>
    <row r="72" spans="1:17" ht="12.75" customHeight="1" hidden="1" thickBot="1">
      <c r="A72" s="397">
        <v>31</v>
      </c>
      <c r="B72" s="394" t="s">
        <v>46</v>
      </c>
      <c r="C72" s="199"/>
      <c r="D72" s="108"/>
      <c r="E72" s="108"/>
      <c r="F72" s="102">
        <f>649.24+358.7</f>
        <v>1007.94</v>
      </c>
      <c r="G72" s="103"/>
      <c r="H72" s="103"/>
      <c r="I72" s="104"/>
      <c r="J72" s="54"/>
      <c r="K72" s="55"/>
      <c r="L72" s="110"/>
      <c r="M72" s="54"/>
      <c r="N72" s="54"/>
      <c r="O72" s="54"/>
      <c r="P72" s="391"/>
      <c r="Q72" s="384">
        <f t="shared" si="3"/>
        <v>1007.94</v>
      </c>
    </row>
    <row r="73" spans="1:17" ht="12.75" customHeight="1" hidden="1" thickBot="1">
      <c r="A73" s="355"/>
      <c r="B73" s="406" t="s">
        <v>12</v>
      </c>
      <c r="C73" s="385">
        <f>SUM(C42:C72)</f>
        <v>0</v>
      </c>
      <c r="D73" s="385">
        <f>SUM(D42:D72)</f>
        <v>0</v>
      </c>
      <c r="E73" s="386">
        <f>SUM(E42:E71)+E72</f>
        <v>43005.28</v>
      </c>
      <c r="F73" s="387">
        <f>SUM(F42:F71)+F72</f>
        <v>56011.399999999994</v>
      </c>
      <c r="G73" s="387">
        <f>SUM(G42:G71)</f>
        <v>8207</v>
      </c>
      <c r="H73" s="387">
        <f>SUM(H42:H71)</f>
        <v>2066.99</v>
      </c>
      <c r="I73" s="387">
        <f>SUM(I42:I71)</f>
        <v>0</v>
      </c>
      <c r="J73" s="387">
        <f>SUM(J42:J71)</f>
        <v>14739.590000000002</v>
      </c>
      <c r="K73" s="387">
        <f>SUM(K42:K71)+K72</f>
        <v>109377.66</v>
      </c>
      <c r="L73" s="387">
        <f>SUM(L42:L71)</f>
        <v>415188.36</v>
      </c>
      <c r="M73" s="388">
        <f>SUM(M42:M71)</f>
        <v>4994.22</v>
      </c>
      <c r="N73" s="388">
        <f>SUM(N42:N71)</f>
        <v>336.0400000000001</v>
      </c>
      <c r="O73" s="388">
        <f>SUM(O42:O71)</f>
        <v>0</v>
      </c>
      <c r="P73" s="388">
        <f>SUM(P42:P71)</f>
        <v>0</v>
      </c>
      <c r="Q73" s="224">
        <f>SUM(Q42:Q71)+Q72</f>
        <v>653926.5400000002</v>
      </c>
    </row>
    <row r="74" spans="1:17" ht="12.75" customHeight="1" hidden="1" thickBot="1">
      <c r="A74" s="356"/>
      <c r="B74" s="354"/>
      <c r="C74" s="207">
        <v>2110</v>
      </c>
      <c r="D74" s="207">
        <v>2111</v>
      </c>
      <c r="E74" s="207">
        <v>2210</v>
      </c>
      <c r="F74" s="120">
        <v>2230</v>
      </c>
      <c r="G74" s="120">
        <v>2240</v>
      </c>
      <c r="H74" s="120">
        <v>2250</v>
      </c>
      <c r="I74" s="120">
        <v>2271</v>
      </c>
      <c r="J74" s="15">
        <v>2272</v>
      </c>
      <c r="K74" s="15">
        <v>2273</v>
      </c>
      <c r="L74" s="121">
        <v>2274</v>
      </c>
      <c r="M74" s="121">
        <v>2275</v>
      </c>
      <c r="N74" s="121">
        <v>2800</v>
      </c>
      <c r="O74" s="121">
        <v>2730</v>
      </c>
      <c r="P74" s="15">
        <v>2282</v>
      </c>
      <c r="Q74" s="170">
        <f>C73+D73+E73+F73+G73+I73+J73+K73+L73+M73+N73+O73+P73</f>
        <v>651859.55</v>
      </c>
    </row>
    <row r="75" spans="2:17" ht="12.75" customHeight="1" hidden="1">
      <c r="B75" s="63" t="s">
        <v>42</v>
      </c>
      <c r="C75" s="171"/>
      <c r="D75" s="171"/>
      <c r="E75" s="244">
        <f>8229+1680.28</f>
        <v>9909.28</v>
      </c>
      <c r="F75" s="244">
        <f>42823.53+13187.87</f>
        <v>56011.4</v>
      </c>
      <c r="G75" s="244">
        <f>6852.89+1354.11</f>
        <v>8207</v>
      </c>
      <c r="H75" s="244">
        <v>2066.99</v>
      </c>
      <c r="I75" s="244">
        <v>0</v>
      </c>
      <c r="J75" s="260">
        <f>14739.59</f>
        <v>14739.59</v>
      </c>
      <c r="K75" s="260">
        <f>84516.19+24861.47</f>
        <v>109377.66</v>
      </c>
      <c r="L75" s="244">
        <f>267466.52+147721.84</f>
        <v>415188.36</v>
      </c>
      <c r="M75" s="244">
        <f>4994.22</f>
        <v>4994.22</v>
      </c>
      <c r="N75" s="244">
        <f>244+92.04</f>
        <v>336.04</v>
      </c>
      <c r="O75" s="260"/>
      <c r="P75" s="261"/>
      <c r="Q75" s="172">
        <f>SUM(C75:P75)</f>
        <v>620830.54</v>
      </c>
    </row>
    <row r="76" spans="2:17" ht="12.75" customHeight="1" hidden="1">
      <c r="B76" s="337" t="s">
        <v>12</v>
      </c>
      <c r="C76" s="357"/>
      <c r="D76" s="357"/>
      <c r="E76" s="358">
        <f>SUM(E75:E75)</f>
        <v>9909.28</v>
      </c>
      <c r="F76" s="358">
        <f aca="true" t="shared" si="4" ref="F76:P76">SUM(F75:F75)</f>
        <v>56011.4</v>
      </c>
      <c r="G76" s="358">
        <f t="shared" si="4"/>
        <v>8207</v>
      </c>
      <c r="H76" s="358">
        <f t="shared" si="4"/>
        <v>2066.99</v>
      </c>
      <c r="I76" s="358">
        <f t="shared" si="4"/>
        <v>0</v>
      </c>
      <c r="J76" s="358">
        <f t="shared" si="4"/>
        <v>14739.59</v>
      </c>
      <c r="K76" s="358">
        <f t="shared" si="4"/>
        <v>109377.66</v>
      </c>
      <c r="L76" s="358">
        <f t="shared" si="4"/>
        <v>415188.36</v>
      </c>
      <c r="M76" s="358">
        <f t="shared" si="4"/>
        <v>4994.22</v>
      </c>
      <c r="N76" s="358">
        <f t="shared" si="4"/>
        <v>336.04</v>
      </c>
      <c r="O76" s="358">
        <f t="shared" si="4"/>
        <v>0</v>
      </c>
      <c r="P76" s="358">
        <f t="shared" si="4"/>
        <v>0</v>
      </c>
      <c r="Q76" s="358">
        <f>SUM(Q75:Q75)</f>
        <v>620830.54</v>
      </c>
    </row>
    <row r="77" spans="2:17" ht="12.75" customHeight="1" hidden="1"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</row>
    <row r="78" spans="2:17" ht="12.75" customHeight="1" hidden="1" thickBot="1">
      <c r="B78" s="436" t="s">
        <v>70</v>
      </c>
      <c r="C78" s="436"/>
      <c r="D78" s="436"/>
      <c r="E78" s="436"/>
      <c r="F78" s="436"/>
      <c r="G78" s="436"/>
      <c r="H78" s="436"/>
      <c r="I78" s="436"/>
      <c r="J78" s="436"/>
      <c r="K78" s="436"/>
      <c r="L78" s="436"/>
      <c r="M78" s="436"/>
      <c r="N78" s="436"/>
      <c r="O78" s="436"/>
      <c r="P78" s="436"/>
      <c r="Q78" s="436"/>
    </row>
    <row r="79" spans="1:17" ht="12.75" customHeight="1" hidden="1" thickBot="1">
      <c r="A79" s="343"/>
      <c r="B79" s="401" t="s">
        <v>36</v>
      </c>
      <c r="C79" s="430">
        <v>2110</v>
      </c>
      <c r="D79" s="430">
        <v>2111</v>
      </c>
      <c r="E79" s="430">
        <v>2210</v>
      </c>
      <c r="F79" s="431">
        <v>2230</v>
      </c>
      <c r="G79" s="431">
        <v>2240</v>
      </c>
      <c r="H79" s="431">
        <v>2250</v>
      </c>
      <c r="I79" s="431">
        <v>2271</v>
      </c>
      <c r="J79" s="429">
        <v>2272</v>
      </c>
      <c r="K79" s="429">
        <v>2273</v>
      </c>
      <c r="L79" s="432">
        <v>2274</v>
      </c>
      <c r="M79" s="432">
        <v>2275</v>
      </c>
      <c r="N79" s="432">
        <v>2800</v>
      </c>
      <c r="O79" s="432">
        <v>2730</v>
      </c>
      <c r="P79" s="429">
        <v>2282</v>
      </c>
      <c r="Q79" s="365" t="s">
        <v>35</v>
      </c>
    </row>
    <row r="80" spans="1:17" ht="12.75" customHeight="1" hidden="1">
      <c r="A80" s="344">
        <v>1</v>
      </c>
      <c r="B80" s="402" t="s">
        <v>0</v>
      </c>
      <c r="C80" s="43"/>
      <c r="D80" s="44"/>
      <c r="E80" s="105">
        <f>6066.76*1.2</f>
        <v>7280.112</v>
      </c>
      <c r="F80" s="92">
        <f>755.3+235.25</f>
        <v>990.55</v>
      </c>
      <c r="G80" s="92">
        <f>139+63.83+85</f>
        <v>287.83</v>
      </c>
      <c r="H80" s="92"/>
      <c r="I80" s="93"/>
      <c r="J80" s="46"/>
      <c r="K80" s="28">
        <v>796</v>
      </c>
      <c r="L80" s="46"/>
      <c r="M80" s="28"/>
      <c r="N80" s="28"/>
      <c r="O80" s="144"/>
      <c r="P80" s="144">
        <f>30+30</f>
        <v>60</v>
      </c>
      <c r="Q80" s="70">
        <f aca="true" t="shared" si="5" ref="Q80:Q110">SUM(E80:P80)</f>
        <v>9414.492</v>
      </c>
    </row>
    <row r="81" spans="1:17" ht="12.75" customHeight="1" hidden="1">
      <c r="A81" s="345">
        <v>2</v>
      </c>
      <c r="B81" s="403" t="s">
        <v>1</v>
      </c>
      <c r="C81" s="17"/>
      <c r="D81" s="3"/>
      <c r="E81" s="106">
        <f>2600.04*1.2</f>
        <v>3120.048</v>
      </c>
      <c r="F81" s="95">
        <f>2274.51+638.87</f>
        <v>2913.38</v>
      </c>
      <c r="G81" s="97">
        <f>135+63.83</f>
        <v>198.82999999999998</v>
      </c>
      <c r="H81" s="97"/>
      <c r="I81" s="95"/>
      <c r="J81" s="4"/>
      <c r="K81" s="29">
        <v>2675</v>
      </c>
      <c r="L81" s="29">
        <v>52386.29</v>
      </c>
      <c r="M81" s="29"/>
      <c r="N81" s="29"/>
      <c r="O81" s="153"/>
      <c r="P81" s="153">
        <f>30</f>
        <v>30</v>
      </c>
      <c r="Q81" s="137">
        <f t="shared" si="5"/>
        <v>61323.548</v>
      </c>
    </row>
    <row r="82" spans="1:17" ht="12.75" customHeight="1" hidden="1">
      <c r="A82" s="345">
        <v>3</v>
      </c>
      <c r="B82" s="403" t="s">
        <v>2</v>
      </c>
      <c r="C82" s="17"/>
      <c r="D82" s="3"/>
      <c r="E82" s="106">
        <f>537+2800.02+3467.04+799+1400+1560+1718.8+1681+1735+5506+1630+1116+260.45+802+132+(5200.08*1.2)</f>
        <v>31384.406000000003</v>
      </c>
      <c r="F82" s="95">
        <f>5868.48</f>
        <v>5868.48</v>
      </c>
      <c r="G82" s="97">
        <f>63.83+75.19+250+229</f>
        <v>618.02</v>
      </c>
      <c r="H82" s="97">
        <f>473.2+120.56+119.12</f>
        <v>712.88</v>
      </c>
      <c r="I82" s="95"/>
      <c r="J82" s="4"/>
      <c r="K82" s="29">
        <v>10334</v>
      </c>
      <c r="L82" s="29"/>
      <c r="M82" s="29"/>
      <c r="N82" s="29"/>
      <c r="O82" s="153"/>
      <c r="P82" s="153">
        <f>30+30+30+30</f>
        <v>120</v>
      </c>
      <c r="Q82" s="137">
        <f t="shared" si="5"/>
        <v>49037.78599999999</v>
      </c>
    </row>
    <row r="83" spans="1:17" ht="12.75" customHeight="1" hidden="1">
      <c r="A83" s="345">
        <v>4</v>
      </c>
      <c r="B83" s="403" t="s">
        <v>3</v>
      </c>
      <c r="C83" s="17"/>
      <c r="D83" s="3"/>
      <c r="E83" s="106"/>
      <c r="F83" s="95">
        <f>1323.5</f>
        <v>1323.5</v>
      </c>
      <c r="G83" s="97">
        <f>149+63.83</f>
        <v>212.82999999999998</v>
      </c>
      <c r="H83" s="97"/>
      <c r="I83" s="96"/>
      <c r="J83" s="4"/>
      <c r="K83" s="29">
        <v>2493</v>
      </c>
      <c r="L83" s="29">
        <v>41223.52</v>
      </c>
      <c r="M83" s="29"/>
      <c r="N83" s="29"/>
      <c r="O83" s="153"/>
      <c r="P83" s="153"/>
      <c r="Q83" s="137">
        <f t="shared" si="5"/>
        <v>45252.85</v>
      </c>
    </row>
    <row r="84" spans="1:17" ht="12.75" customHeight="1" hidden="1">
      <c r="A84" s="345">
        <v>5</v>
      </c>
      <c r="B84" s="403" t="s">
        <v>4</v>
      </c>
      <c r="C84" s="17"/>
      <c r="D84" s="3"/>
      <c r="E84" s="106">
        <f>200</f>
        <v>200</v>
      </c>
      <c r="F84" s="95">
        <f>317.67</f>
        <v>317.67</v>
      </c>
      <c r="G84" s="97">
        <f>63.83</f>
        <v>63.83</v>
      </c>
      <c r="H84" s="97"/>
      <c r="I84" s="95"/>
      <c r="J84" s="4"/>
      <c r="K84" s="29">
        <v>2703</v>
      </c>
      <c r="L84" s="29"/>
      <c r="M84" s="29"/>
      <c r="N84" s="29"/>
      <c r="O84" s="153"/>
      <c r="P84" s="153"/>
      <c r="Q84" s="137">
        <f t="shared" si="5"/>
        <v>3284.5</v>
      </c>
    </row>
    <row r="85" spans="1:17" ht="12.75" customHeight="1" hidden="1">
      <c r="A85" s="345">
        <v>6</v>
      </c>
      <c r="B85" s="403" t="s">
        <v>5</v>
      </c>
      <c r="C85" s="17"/>
      <c r="D85" s="3"/>
      <c r="E85" s="106">
        <f>1292.75+(5200.08+4333.4+5200.08)*1.2</f>
        <v>18973.021999999997</v>
      </c>
      <c r="F85" s="95">
        <f>6050.5+2130.28</f>
        <v>8180.780000000001</v>
      </c>
      <c r="G85" s="95">
        <f>308.03+452.77</f>
        <v>760.8</v>
      </c>
      <c r="H85" s="95"/>
      <c r="I85" s="95">
        <v>322378.18</v>
      </c>
      <c r="J85" s="29">
        <f>1572.48+2726.4</f>
        <v>4298.88</v>
      </c>
      <c r="K85" s="29">
        <v>20141</v>
      </c>
      <c r="L85" s="29"/>
      <c r="M85" s="29"/>
      <c r="N85" s="29"/>
      <c r="O85" s="153"/>
      <c r="P85" s="153">
        <f>30+30+30+30+30+30+30+30</f>
        <v>240</v>
      </c>
      <c r="Q85" s="137">
        <f t="shared" si="5"/>
        <v>374972.662</v>
      </c>
    </row>
    <row r="86" spans="1:17" ht="12.75" customHeight="1" hidden="1">
      <c r="A86" s="345">
        <v>7</v>
      </c>
      <c r="B86" s="403" t="s">
        <v>6</v>
      </c>
      <c r="C86" s="17"/>
      <c r="D86" s="3"/>
      <c r="E86" s="106"/>
      <c r="F86" s="95">
        <f>788.2</f>
        <v>788.2</v>
      </c>
      <c r="G86" s="97">
        <f>80+53.7</f>
        <v>133.7</v>
      </c>
      <c r="H86" s="97"/>
      <c r="I86" s="95"/>
      <c r="J86" s="29"/>
      <c r="K86" s="29">
        <v>6419</v>
      </c>
      <c r="L86" s="36"/>
      <c r="M86" s="29"/>
      <c r="N86" s="29"/>
      <c r="O86" s="153"/>
      <c r="P86" s="153">
        <f>30+30</f>
        <v>60</v>
      </c>
      <c r="Q86" s="137">
        <f t="shared" si="5"/>
        <v>7400.9</v>
      </c>
    </row>
    <row r="87" spans="1:17" ht="12.75" customHeight="1" hidden="1">
      <c r="A87" s="345">
        <v>8</v>
      </c>
      <c r="B87" s="403" t="s">
        <v>7</v>
      </c>
      <c r="C87" s="17"/>
      <c r="D87" s="3"/>
      <c r="E87" s="106"/>
      <c r="F87" s="95">
        <f>712.04</f>
        <v>712.04</v>
      </c>
      <c r="G87" s="97">
        <f>229+73.52</f>
        <v>302.52</v>
      </c>
      <c r="H87" s="97"/>
      <c r="I87" s="95"/>
      <c r="J87" s="29">
        <f>354.32</f>
        <v>354.32</v>
      </c>
      <c r="K87" s="29">
        <v>11833</v>
      </c>
      <c r="L87" s="36"/>
      <c r="M87" s="29"/>
      <c r="N87" s="29"/>
      <c r="O87" s="153"/>
      <c r="P87" s="153">
        <f>30</f>
        <v>30</v>
      </c>
      <c r="Q87" s="137">
        <f t="shared" si="5"/>
        <v>13231.88</v>
      </c>
    </row>
    <row r="88" spans="1:17" ht="12.75" customHeight="1" hidden="1">
      <c r="A88" s="345">
        <v>9</v>
      </c>
      <c r="B88" s="403" t="s">
        <v>8</v>
      </c>
      <c r="C88" s="17"/>
      <c r="D88" s="3"/>
      <c r="E88" s="107"/>
      <c r="F88" s="95">
        <f>1711.57</f>
        <v>1711.57</v>
      </c>
      <c r="G88" s="97">
        <f>63.83+63.83+172.07</f>
        <v>299.73</v>
      </c>
      <c r="H88" s="97"/>
      <c r="I88" s="95">
        <v>198711</v>
      </c>
      <c r="J88" s="29"/>
      <c r="K88" s="29">
        <v>3702</v>
      </c>
      <c r="L88" s="36"/>
      <c r="M88" s="29"/>
      <c r="N88" s="29"/>
      <c r="O88" s="153"/>
      <c r="P88" s="153"/>
      <c r="Q88" s="137">
        <f t="shared" si="5"/>
        <v>204424.3</v>
      </c>
    </row>
    <row r="89" spans="1:17" ht="12.75" customHeight="1" hidden="1">
      <c r="A89" s="345">
        <v>10</v>
      </c>
      <c r="B89" s="403" t="s">
        <v>9</v>
      </c>
      <c r="C89" s="17"/>
      <c r="D89" s="3"/>
      <c r="E89" s="107">
        <f>2600.04*1.2</f>
        <v>3120.048</v>
      </c>
      <c r="F89" s="95">
        <f>2455.58</f>
        <v>2455.58</v>
      </c>
      <c r="G89" s="97">
        <f>100+63.83</f>
        <v>163.82999999999998</v>
      </c>
      <c r="H89" s="97"/>
      <c r="I89" s="96"/>
      <c r="J89" s="36"/>
      <c r="K89" s="29">
        <v>4195</v>
      </c>
      <c r="L89" s="36">
        <v>53428.46</v>
      </c>
      <c r="M89" s="29"/>
      <c r="N89" s="29"/>
      <c r="O89" s="153"/>
      <c r="P89" s="153"/>
      <c r="Q89" s="137">
        <f t="shared" si="5"/>
        <v>63362.918</v>
      </c>
    </row>
    <row r="90" spans="1:17" ht="12.75" customHeight="1" hidden="1">
      <c r="A90" s="345">
        <v>11</v>
      </c>
      <c r="B90" s="403" t="s">
        <v>10</v>
      </c>
      <c r="C90" s="17"/>
      <c r="D90" s="3"/>
      <c r="E90" s="107"/>
      <c r="F90" s="95">
        <f>1512.14</f>
        <v>1512.14</v>
      </c>
      <c r="G90" s="97">
        <f>139+66.47</f>
        <v>205.47</v>
      </c>
      <c r="H90" s="97"/>
      <c r="I90" s="95"/>
      <c r="J90" s="36"/>
      <c r="K90" s="29">
        <v>1309</v>
      </c>
      <c r="L90" s="36"/>
      <c r="M90" s="29">
        <v>35456</v>
      </c>
      <c r="N90" s="29"/>
      <c r="O90" s="153"/>
      <c r="P90" s="153"/>
      <c r="Q90" s="137">
        <f t="shared" si="5"/>
        <v>38482.61</v>
      </c>
    </row>
    <row r="91" spans="1:17" ht="12.75" customHeight="1" hidden="1">
      <c r="A91" s="345">
        <v>12</v>
      </c>
      <c r="B91" s="403" t="s">
        <v>11</v>
      </c>
      <c r="C91" s="17"/>
      <c r="D91" s="3"/>
      <c r="E91" s="107">
        <f>2065+2721.58+401+132+(5200.08*1.2)</f>
        <v>11559.676</v>
      </c>
      <c r="F91" s="95">
        <f>2396.97</f>
        <v>2396.97</v>
      </c>
      <c r="G91" s="97">
        <f>63.83+229</f>
        <v>292.83</v>
      </c>
      <c r="H91" s="97">
        <f>916.78+135.22</f>
        <v>1052</v>
      </c>
      <c r="I91" s="96"/>
      <c r="J91" s="29"/>
      <c r="K91" s="29">
        <v>6033</v>
      </c>
      <c r="L91" s="29"/>
      <c r="M91" s="29"/>
      <c r="N91" s="29"/>
      <c r="O91" s="153"/>
      <c r="P91" s="153"/>
      <c r="Q91" s="137">
        <f t="shared" si="5"/>
        <v>21334.476</v>
      </c>
    </row>
    <row r="92" spans="1:17" ht="12.75" customHeight="1" hidden="1">
      <c r="A92" s="345">
        <v>13</v>
      </c>
      <c r="B92" s="403" t="s">
        <v>13</v>
      </c>
      <c r="C92" s="17"/>
      <c r="D92" s="3"/>
      <c r="E92" s="107"/>
      <c r="F92" s="95">
        <f>78.2</f>
        <v>78.2</v>
      </c>
      <c r="G92" s="97">
        <f>38.29</f>
        <v>38.29</v>
      </c>
      <c r="H92" s="97"/>
      <c r="I92" s="95"/>
      <c r="J92" s="36"/>
      <c r="K92" s="29">
        <v>1497</v>
      </c>
      <c r="L92" s="29">
        <v>33986.24</v>
      </c>
      <c r="M92" s="29"/>
      <c r="N92" s="29"/>
      <c r="O92" s="153"/>
      <c r="P92" s="153"/>
      <c r="Q92" s="137">
        <f t="shared" si="5"/>
        <v>35599.729999999996</v>
      </c>
    </row>
    <row r="93" spans="1:17" ht="12.75" customHeight="1" hidden="1">
      <c r="A93" s="345">
        <v>14</v>
      </c>
      <c r="B93" s="403" t="s">
        <v>14</v>
      </c>
      <c r="C93" s="17"/>
      <c r="D93" s="3"/>
      <c r="E93" s="107">
        <f>2600.04*1.2</f>
        <v>3120.048</v>
      </c>
      <c r="F93" s="95">
        <f>724.24</f>
        <v>724.24</v>
      </c>
      <c r="G93" s="97">
        <f>63.83</f>
        <v>63.83</v>
      </c>
      <c r="H93" s="97"/>
      <c r="I93" s="95"/>
      <c r="J93" s="29">
        <f>213.28</f>
        <v>213.28</v>
      </c>
      <c r="K93" s="29">
        <v>1653</v>
      </c>
      <c r="L93" s="36"/>
      <c r="M93" s="29"/>
      <c r="N93" s="29"/>
      <c r="O93" s="153"/>
      <c r="P93" s="153">
        <f>30+30+30+30</f>
        <v>120</v>
      </c>
      <c r="Q93" s="137">
        <f t="shared" si="5"/>
        <v>5894.397999999999</v>
      </c>
    </row>
    <row r="94" spans="1:17" ht="12.75" customHeight="1" hidden="1">
      <c r="A94" s="345">
        <v>15</v>
      </c>
      <c r="B94" s="403" t="s">
        <v>15</v>
      </c>
      <c r="C94" s="17"/>
      <c r="D94" s="3"/>
      <c r="E94" s="107"/>
      <c r="F94" s="95">
        <f>161.82</f>
        <v>161.82</v>
      </c>
      <c r="G94" s="97">
        <f>63.83</f>
        <v>63.83</v>
      </c>
      <c r="H94" s="97"/>
      <c r="I94" s="96"/>
      <c r="J94" s="36"/>
      <c r="K94" s="29">
        <v>2413</v>
      </c>
      <c r="L94" s="36"/>
      <c r="M94" s="29"/>
      <c r="N94" s="29"/>
      <c r="O94" s="153"/>
      <c r="P94" s="153"/>
      <c r="Q94" s="137">
        <f t="shared" si="5"/>
        <v>2638.65</v>
      </c>
    </row>
    <row r="95" spans="1:17" ht="12.75" customHeight="1" hidden="1">
      <c r="A95" s="345">
        <v>16</v>
      </c>
      <c r="B95" s="403" t="s">
        <v>16</v>
      </c>
      <c r="C95" s="17"/>
      <c r="D95" s="3"/>
      <c r="E95" s="107">
        <f>1016+3641+200.5+66</f>
        <v>4923.5</v>
      </c>
      <c r="F95" s="95">
        <f>1161.31</f>
        <v>1161.31</v>
      </c>
      <c r="G95" s="97">
        <f>63.83+149+149</f>
        <v>361.83</v>
      </c>
      <c r="H95" s="97">
        <f>122.32</f>
        <v>122.32</v>
      </c>
      <c r="I95" s="95"/>
      <c r="J95" s="36"/>
      <c r="K95" s="29">
        <v>3851</v>
      </c>
      <c r="L95" s="36"/>
      <c r="M95" s="29"/>
      <c r="N95" s="29"/>
      <c r="O95" s="153"/>
      <c r="P95" s="153">
        <f>30+30</f>
        <v>60</v>
      </c>
      <c r="Q95" s="137">
        <f t="shared" si="5"/>
        <v>10479.96</v>
      </c>
    </row>
    <row r="96" spans="1:17" ht="12.75" customHeight="1" hidden="1">
      <c r="A96" s="345">
        <v>17</v>
      </c>
      <c r="B96" s="403" t="s">
        <v>17</v>
      </c>
      <c r="C96" s="17"/>
      <c r="D96" s="3"/>
      <c r="E96" s="107">
        <f>5200.08*1.2</f>
        <v>6240.096</v>
      </c>
      <c r="F96" s="95">
        <f>688.49</f>
        <v>688.49</v>
      </c>
      <c r="G96" s="97">
        <f>100+63.83</f>
        <v>163.82999999999998</v>
      </c>
      <c r="H96" s="97"/>
      <c r="I96" s="95"/>
      <c r="J96" s="36"/>
      <c r="K96" s="29">
        <v>2313</v>
      </c>
      <c r="L96" s="36"/>
      <c r="M96" s="29"/>
      <c r="N96" s="29"/>
      <c r="O96" s="153"/>
      <c r="P96" s="153"/>
      <c r="Q96" s="137">
        <f t="shared" si="5"/>
        <v>9405.416</v>
      </c>
    </row>
    <row r="97" spans="1:17" ht="12.75" customHeight="1" hidden="1">
      <c r="A97" s="345">
        <v>18</v>
      </c>
      <c r="B97" s="403" t="s">
        <v>18</v>
      </c>
      <c r="C97" s="17"/>
      <c r="D97" s="3"/>
      <c r="E97" s="107"/>
      <c r="F97" s="95">
        <f>470.51+212.03</f>
        <v>682.54</v>
      </c>
      <c r="G97" s="97">
        <f>67.15+139.07+0.04</f>
        <v>206.26</v>
      </c>
      <c r="H97" s="97"/>
      <c r="I97" s="95"/>
      <c r="J97" s="29"/>
      <c r="K97" s="29">
        <v>2054</v>
      </c>
      <c r="L97" s="29">
        <v>34217.84</v>
      </c>
      <c r="M97" s="29"/>
      <c r="N97" s="29"/>
      <c r="O97" s="153"/>
      <c r="P97" s="153"/>
      <c r="Q97" s="137">
        <f t="shared" si="5"/>
        <v>37160.64</v>
      </c>
    </row>
    <row r="98" spans="1:17" ht="12.75" customHeight="1" hidden="1">
      <c r="A98" s="345">
        <v>19</v>
      </c>
      <c r="B98" s="403" t="s">
        <v>19</v>
      </c>
      <c r="C98" s="17"/>
      <c r="D98" s="3"/>
      <c r="E98" s="107"/>
      <c r="F98" s="95">
        <f>1037.45</f>
        <v>1037.45</v>
      </c>
      <c r="G98" s="97">
        <f>63.83</f>
        <v>63.83</v>
      </c>
      <c r="H98" s="97"/>
      <c r="I98" s="95"/>
      <c r="J98" s="36"/>
      <c r="K98" s="29">
        <v>804</v>
      </c>
      <c r="L98" s="36"/>
      <c r="M98" s="29"/>
      <c r="N98" s="29"/>
      <c r="O98" s="153"/>
      <c r="P98" s="153">
        <f>30+30+30</f>
        <v>90</v>
      </c>
      <c r="Q98" s="137">
        <f t="shared" si="5"/>
        <v>1995.28</v>
      </c>
    </row>
    <row r="99" spans="1:17" ht="12.75" customHeight="1" hidden="1">
      <c r="A99" s="345">
        <v>20</v>
      </c>
      <c r="B99" s="403" t="s">
        <v>20</v>
      </c>
      <c r="C99" s="58"/>
      <c r="D99" s="11"/>
      <c r="E99" s="107"/>
      <c r="F99" s="95">
        <f>104.95</f>
        <v>104.95</v>
      </c>
      <c r="G99" s="97"/>
      <c r="H99" s="97"/>
      <c r="I99" s="96"/>
      <c r="J99" s="36"/>
      <c r="K99" s="29">
        <v>5738</v>
      </c>
      <c r="L99" s="36"/>
      <c r="M99" s="29"/>
      <c r="N99" s="29"/>
      <c r="O99" s="153"/>
      <c r="P99" s="153"/>
      <c r="Q99" s="137">
        <f t="shared" si="5"/>
        <v>5842.95</v>
      </c>
    </row>
    <row r="100" spans="1:17" ht="12.75" customHeight="1" hidden="1">
      <c r="A100" s="345">
        <v>21</v>
      </c>
      <c r="B100" s="403" t="s">
        <v>21</v>
      </c>
      <c r="C100" s="58"/>
      <c r="D100" s="10"/>
      <c r="E100" s="107"/>
      <c r="F100" s="95">
        <f>238.51</f>
        <v>238.51</v>
      </c>
      <c r="G100" s="97">
        <f>120+63.83</f>
        <v>183.82999999999998</v>
      </c>
      <c r="H100" s="97"/>
      <c r="I100" s="95"/>
      <c r="J100" s="29">
        <f>161.25</f>
        <v>161.25</v>
      </c>
      <c r="K100" s="29">
        <f>3243+0.88</f>
        <v>3243.88</v>
      </c>
      <c r="L100" s="36"/>
      <c r="M100" s="29"/>
      <c r="N100" s="29"/>
      <c r="O100" s="153"/>
      <c r="P100" s="153"/>
      <c r="Q100" s="137">
        <f t="shared" si="5"/>
        <v>3827.4700000000003</v>
      </c>
    </row>
    <row r="101" spans="1:17" ht="12.75" customHeight="1" hidden="1">
      <c r="A101" s="345">
        <v>22</v>
      </c>
      <c r="B101" s="403" t="s">
        <v>22</v>
      </c>
      <c r="C101" s="58"/>
      <c r="D101" s="10"/>
      <c r="E101" s="107">
        <f>2181+200.5+66</f>
        <v>2447.5</v>
      </c>
      <c r="F101" s="95">
        <f>1081.27</f>
        <v>1081.27</v>
      </c>
      <c r="G101" s="97">
        <f>63.83</f>
        <v>63.83</v>
      </c>
      <c r="H101" s="97"/>
      <c r="I101" s="95"/>
      <c r="J101" s="36"/>
      <c r="K101" s="29">
        <v>2347</v>
      </c>
      <c r="L101" s="36"/>
      <c r="M101" s="29"/>
      <c r="N101" s="29"/>
      <c r="O101" s="153"/>
      <c r="P101" s="153"/>
      <c r="Q101" s="137">
        <f t="shared" si="5"/>
        <v>5939.6</v>
      </c>
    </row>
    <row r="102" spans="1:17" ht="12.75" customHeight="1" hidden="1">
      <c r="A102" s="345">
        <v>23</v>
      </c>
      <c r="B102" s="403" t="s">
        <v>23</v>
      </c>
      <c r="C102" s="58"/>
      <c r="D102" s="10"/>
      <c r="E102" s="107"/>
      <c r="F102" s="95">
        <f>707.51+95.99</f>
        <v>803.5</v>
      </c>
      <c r="G102" s="97">
        <f>76.85+139.07</f>
        <v>215.92</v>
      </c>
      <c r="H102" s="97"/>
      <c r="I102" s="95"/>
      <c r="J102" s="29"/>
      <c r="K102" s="29">
        <v>1284</v>
      </c>
      <c r="L102" s="36">
        <v>28740.67</v>
      </c>
      <c r="M102" s="29"/>
      <c r="N102" s="29"/>
      <c r="O102" s="153"/>
      <c r="P102" s="153"/>
      <c r="Q102" s="137">
        <f t="shared" si="5"/>
        <v>31044.089999999997</v>
      </c>
    </row>
    <row r="103" spans="1:17" ht="12.75" customHeight="1" hidden="1">
      <c r="A103" s="345">
        <v>24</v>
      </c>
      <c r="B103" s="403" t="s">
        <v>25</v>
      </c>
      <c r="C103" s="58"/>
      <c r="D103" s="10"/>
      <c r="E103" s="107"/>
      <c r="F103" s="95"/>
      <c r="G103" s="95"/>
      <c r="H103" s="95"/>
      <c r="I103" s="96"/>
      <c r="J103" s="4"/>
      <c r="K103" s="29">
        <v>123</v>
      </c>
      <c r="L103" s="4"/>
      <c r="M103" s="29"/>
      <c r="N103" s="29"/>
      <c r="O103" s="153"/>
      <c r="P103" s="153"/>
      <c r="Q103" s="137">
        <f t="shared" si="5"/>
        <v>123</v>
      </c>
    </row>
    <row r="104" spans="1:17" ht="12.75" customHeight="1" hidden="1">
      <c r="A104" s="345">
        <v>25</v>
      </c>
      <c r="B104" s="403" t="s">
        <v>26</v>
      </c>
      <c r="C104" s="58"/>
      <c r="D104" s="10"/>
      <c r="E104" s="107"/>
      <c r="F104" s="95"/>
      <c r="G104" s="98"/>
      <c r="H104" s="98"/>
      <c r="I104" s="96"/>
      <c r="J104" s="4"/>
      <c r="K104" s="29">
        <v>154</v>
      </c>
      <c r="L104" s="4"/>
      <c r="M104" s="29"/>
      <c r="N104" s="29"/>
      <c r="O104" s="153"/>
      <c r="P104" s="133"/>
      <c r="Q104" s="137">
        <f t="shared" si="5"/>
        <v>154</v>
      </c>
    </row>
    <row r="105" spans="1:17" ht="12.75" customHeight="1" hidden="1">
      <c r="A105" s="345">
        <v>26</v>
      </c>
      <c r="B105" s="403" t="s">
        <v>29</v>
      </c>
      <c r="C105" s="58"/>
      <c r="D105" s="10"/>
      <c r="E105" s="107"/>
      <c r="F105" s="95"/>
      <c r="G105" s="98"/>
      <c r="H105" s="98"/>
      <c r="I105" s="96"/>
      <c r="J105" s="4"/>
      <c r="K105" s="29">
        <v>26</v>
      </c>
      <c r="L105" s="4"/>
      <c r="M105" s="29"/>
      <c r="N105" s="29"/>
      <c r="O105" s="153"/>
      <c r="P105" s="133"/>
      <c r="Q105" s="137">
        <f t="shared" si="5"/>
        <v>26</v>
      </c>
    </row>
    <row r="106" spans="1:17" ht="12.75" customHeight="1" hidden="1">
      <c r="A106" s="345">
        <v>27</v>
      </c>
      <c r="B106" s="403" t="s">
        <v>31</v>
      </c>
      <c r="C106" s="58"/>
      <c r="D106" s="10"/>
      <c r="E106" s="107"/>
      <c r="F106" s="95">
        <f>561.76</f>
        <v>561.76</v>
      </c>
      <c r="G106" s="98"/>
      <c r="H106" s="98"/>
      <c r="I106" s="98"/>
      <c r="J106" s="4"/>
      <c r="K106" s="29">
        <v>971</v>
      </c>
      <c r="L106" s="36">
        <f>1239.02</f>
        <v>1239.02</v>
      </c>
      <c r="M106" s="29"/>
      <c r="N106" s="29"/>
      <c r="O106" s="133"/>
      <c r="P106" s="133"/>
      <c r="Q106" s="137">
        <f t="shared" si="5"/>
        <v>2771.7799999999997</v>
      </c>
    </row>
    <row r="107" spans="1:17" ht="12.75" customHeight="1" hidden="1">
      <c r="A107" s="345">
        <v>28</v>
      </c>
      <c r="B107" s="403" t="s">
        <v>32</v>
      </c>
      <c r="C107" s="58"/>
      <c r="D107" s="10"/>
      <c r="E107" s="107"/>
      <c r="F107" s="95"/>
      <c r="G107" s="98"/>
      <c r="H107" s="98"/>
      <c r="I107" s="98"/>
      <c r="J107" s="4"/>
      <c r="K107" s="29">
        <v>44</v>
      </c>
      <c r="L107" s="4"/>
      <c r="M107" s="29"/>
      <c r="N107" s="29"/>
      <c r="O107" s="133"/>
      <c r="P107" s="133"/>
      <c r="Q107" s="137">
        <f t="shared" si="5"/>
        <v>44</v>
      </c>
    </row>
    <row r="108" spans="1:17" ht="12.75" customHeight="1" hidden="1">
      <c r="A108" s="345">
        <v>29</v>
      </c>
      <c r="B108" s="393" t="s">
        <v>34</v>
      </c>
      <c r="C108" s="58"/>
      <c r="D108" s="10"/>
      <c r="E108" s="107"/>
      <c r="F108" s="95"/>
      <c r="G108" s="100"/>
      <c r="H108" s="100"/>
      <c r="I108" s="100"/>
      <c r="J108" s="4"/>
      <c r="K108" s="29">
        <v>136</v>
      </c>
      <c r="L108" s="4"/>
      <c r="M108" s="29"/>
      <c r="N108" s="29"/>
      <c r="O108" s="133"/>
      <c r="P108" s="133"/>
      <c r="Q108" s="137">
        <f t="shared" si="5"/>
        <v>136</v>
      </c>
    </row>
    <row r="109" spans="1:17" ht="12.75" customHeight="1" hidden="1">
      <c r="A109" s="345">
        <v>30</v>
      </c>
      <c r="B109" s="393" t="s">
        <v>68</v>
      </c>
      <c r="C109" s="58"/>
      <c r="D109" s="10"/>
      <c r="E109" s="96"/>
      <c r="F109" s="95"/>
      <c r="G109" s="96">
        <f>63.83-0.08</f>
        <v>63.75</v>
      </c>
      <c r="H109" s="96"/>
      <c r="I109" s="101"/>
      <c r="J109" s="4"/>
      <c r="K109" s="29"/>
      <c r="L109" s="109"/>
      <c r="M109" s="29"/>
      <c r="N109" s="29"/>
      <c r="O109" s="133"/>
      <c r="P109" s="133"/>
      <c r="Q109" s="137">
        <f t="shared" si="5"/>
        <v>63.75</v>
      </c>
    </row>
    <row r="110" spans="1:17" ht="12.75" customHeight="1" hidden="1" thickBot="1">
      <c r="A110" s="400">
        <v>31</v>
      </c>
      <c r="B110" s="394" t="s">
        <v>46</v>
      </c>
      <c r="C110" s="78"/>
      <c r="D110" s="52"/>
      <c r="E110" s="108"/>
      <c r="F110" s="102">
        <f>588.66+426.94</f>
        <v>1015.5999999999999</v>
      </c>
      <c r="G110" s="102"/>
      <c r="H110" s="102"/>
      <c r="I110" s="104"/>
      <c r="J110" s="54"/>
      <c r="K110" s="55"/>
      <c r="L110" s="110"/>
      <c r="M110" s="55"/>
      <c r="N110" s="55"/>
      <c r="O110" s="134"/>
      <c r="P110" s="134"/>
      <c r="Q110" s="137">
        <f t="shared" si="5"/>
        <v>1015.5999999999999</v>
      </c>
    </row>
    <row r="111" spans="1:17" s="178" customFormat="1" ht="12.75" customHeight="1" hidden="1" thickBot="1">
      <c r="A111" s="399"/>
      <c r="B111" s="405" t="s">
        <v>12</v>
      </c>
      <c r="C111" s="228">
        <f>SUM(C80:C110)</f>
        <v>0</v>
      </c>
      <c r="D111" s="228">
        <f>SUM(D80:D110)</f>
        <v>0</v>
      </c>
      <c r="E111" s="229">
        <f>SUM(E80:E109)+E110</f>
        <v>92368.456</v>
      </c>
      <c r="F111" s="230">
        <f>SUM(F80:F109)+F110</f>
        <v>37510.5</v>
      </c>
      <c r="G111" s="230">
        <f aca="true" t="shared" si="6" ref="G111:P111">SUM(G80:G109)</f>
        <v>5029.249999999999</v>
      </c>
      <c r="H111" s="230">
        <f t="shared" si="6"/>
        <v>1887.2</v>
      </c>
      <c r="I111" s="230">
        <f t="shared" si="6"/>
        <v>521089.18</v>
      </c>
      <c r="J111" s="230">
        <f t="shared" si="6"/>
        <v>5027.73</v>
      </c>
      <c r="K111" s="230">
        <f>SUM(K80:K110)</f>
        <v>101284.88</v>
      </c>
      <c r="L111" s="230">
        <f>SUM(L80:L109)</f>
        <v>245222.03999999995</v>
      </c>
      <c r="M111" s="228">
        <f t="shared" si="6"/>
        <v>35456</v>
      </c>
      <c r="N111" s="228">
        <f t="shared" si="6"/>
        <v>0</v>
      </c>
      <c r="O111" s="228">
        <f t="shared" si="6"/>
        <v>0</v>
      </c>
      <c r="P111" s="228">
        <f t="shared" si="6"/>
        <v>810</v>
      </c>
      <c r="Q111" s="231">
        <f>SUM(Q80:Q110)</f>
        <v>1045685.2359999999</v>
      </c>
    </row>
    <row r="112" spans="1:17" s="178" customFormat="1" ht="12.75" customHeight="1" hidden="1" thickBot="1">
      <c r="A112" s="398"/>
      <c r="B112" s="354"/>
      <c r="C112" s="207">
        <v>2110</v>
      </c>
      <c r="D112" s="207">
        <v>2111</v>
      </c>
      <c r="E112" s="207">
        <v>2210</v>
      </c>
      <c r="F112" s="120">
        <v>2230</v>
      </c>
      <c r="G112" s="120">
        <v>2240</v>
      </c>
      <c r="H112" s="120">
        <v>2250</v>
      </c>
      <c r="I112" s="120">
        <v>2271</v>
      </c>
      <c r="J112" s="15">
        <v>2272</v>
      </c>
      <c r="K112" s="15">
        <v>2273</v>
      </c>
      <c r="L112" s="121">
        <v>2274</v>
      </c>
      <c r="M112" s="121">
        <v>2275</v>
      </c>
      <c r="N112" s="121">
        <v>2800</v>
      </c>
      <c r="O112" s="121">
        <v>2730</v>
      </c>
      <c r="P112" s="15">
        <v>2282</v>
      </c>
      <c r="Q112" s="234">
        <f>C111+D111+E111+F111+G111+I111+J111+K111+L111+M111+N111+O111+P111</f>
        <v>1043798.0359999998</v>
      </c>
    </row>
    <row r="113" spans="2:17" ht="12.75" customHeight="1" hidden="1">
      <c r="B113" s="63" t="s">
        <v>42</v>
      </c>
      <c r="C113" s="63"/>
      <c r="D113" s="63"/>
      <c r="E113" s="130">
        <f>247452.75+103874.89</f>
        <v>351327.64</v>
      </c>
      <c r="F113" s="244">
        <f>27002.47+10508.03</f>
        <v>37510.5</v>
      </c>
      <c r="G113" s="244">
        <f>3692.75+1336.5</f>
        <v>5029.25</v>
      </c>
      <c r="H113" s="244">
        <f>1887.2</f>
        <v>1887.2</v>
      </c>
      <c r="I113" s="244">
        <f>521089.18</f>
        <v>521089.18</v>
      </c>
      <c r="J113" s="260">
        <f>5027.73</f>
        <v>5027.73</v>
      </c>
      <c r="K113" s="260">
        <f>76295.35+24989.53</f>
        <v>101284.88</v>
      </c>
      <c r="L113" s="244">
        <f>245222.03</f>
        <v>245222.03</v>
      </c>
      <c r="M113" s="244">
        <f>35456</f>
        <v>35456</v>
      </c>
      <c r="N113" s="244">
        <v>0</v>
      </c>
      <c r="O113" s="317">
        <v>0</v>
      </c>
      <c r="P113" s="208">
        <v>810</v>
      </c>
      <c r="Q113" s="172">
        <f>SUM(E113:P113)</f>
        <v>1304644.41</v>
      </c>
    </row>
    <row r="114" spans="2:17" ht="12.75" customHeight="1" hidden="1">
      <c r="B114" s="337" t="s">
        <v>12</v>
      </c>
      <c r="C114" s="357"/>
      <c r="D114" s="357"/>
      <c r="E114" s="358">
        <f>SUM(E113:E113)</f>
        <v>351327.64</v>
      </c>
      <c r="F114" s="358">
        <f>SUM(F113:F113)</f>
        <v>37510.5</v>
      </c>
      <c r="G114" s="358">
        <f>SUM(G113:G113)</f>
        <v>5029.25</v>
      </c>
      <c r="H114" s="358">
        <f>SUM(H113:H113)</f>
        <v>1887.2</v>
      </c>
      <c r="I114" s="358">
        <f aca="true" t="shared" si="7" ref="I114:P114">SUM(I113:I113)</f>
        <v>521089.18</v>
      </c>
      <c r="J114" s="358">
        <f t="shared" si="7"/>
        <v>5027.73</v>
      </c>
      <c r="K114" s="358">
        <f t="shared" si="7"/>
        <v>101284.88</v>
      </c>
      <c r="L114" s="358">
        <f t="shared" si="7"/>
        <v>245222.03</v>
      </c>
      <c r="M114" s="358">
        <f t="shared" si="7"/>
        <v>35456</v>
      </c>
      <c r="N114" s="358">
        <f t="shared" si="7"/>
        <v>0</v>
      </c>
      <c r="O114" s="358">
        <f t="shared" si="7"/>
        <v>0</v>
      </c>
      <c r="P114" s="358">
        <f t="shared" si="7"/>
        <v>810</v>
      </c>
      <c r="Q114" s="358">
        <f>SUM(Q113:Q113)</f>
        <v>1304644.41</v>
      </c>
    </row>
    <row r="115" spans="2:17" ht="12.75" customHeight="1" hidden="1"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</row>
    <row r="116" spans="2:17" ht="12.75" customHeight="1" hidden="1" thickBot="1">
      <c r="B116" s="436" t="s">
        <v>58</v>
      </c>
      <c r="C116" s="436"/>
      <c r="D116" s="436"/>
      <c r="E116" s="436"/>
      <c r="F116" s="436"/>
      <c r="G116" s="436"/>
      <c r="H116" s="436"/>
      <c r="I116" s="436"/>
      <c r="J116" s="436"/>
      <c r="K116" s="436"/>
      <c r="L116" s="436"/>
      <c r="M116" s="436"/>
      <c r="N116" s="436"/>
      <c r="O116" s="436"/>
      <c r="P116" s="436"/>
      <c r="Q116" s="436"/>
    </row>
    <row r="117" spans="2:17" ht="12.75" customHeight="1" hidden="1" thickBot="1">
      <c r="B117" s="25" t="s">
        <v>36</v>
      </c>
      <c r="C117" s="207">
        <v>2110</v>
      </c>
      <c r="D117" s="207">
        <v>2111</v>
      </c>
      <c r="E117" s="207">
        <v>2210</v>
      </c>
      <c r="F117" s="120">
        <v>2230</v>
      </c>
      <c r="G117" s="120">
        <v>2240</v>
      </c>
      <c r="H117" s="120"/>
      <c r="I117" s="120">
        <v>2271</v>
      </c>
      <c r="J117" s="15">
        <v>2272</v>
      </c>
      <c r="K117" s="15">
        <v>2273</v>
      </c>
      <c r="L117" s="121">
        <v>2274</v>
      </c>
      <c r="M117" s="121">
        <v>2275</v>
      </c>
      <c r="N117" s="121">
        <v>2800</v>
      </c>
      <c r="O117" s="121">
        <v>2730</v>
      </c>
      <c r="P117" s="15">
        <v>2282</v>
      </c>
      <c r="Q117" s="365" t="s">
        <v>35</v>
      </c>
    </row>
    <row r="118" spans="1:17" ht="12.75" customHeight="1" hidden="1">
      <c r="A118" s="246">
        <v>1</v>
      </c>
      <c r="B118" s="392" t="s">
        <v>0</v>
      </c>
      <c r="C118" s="140"/>
      <c r="D118" s="141"/>
      <c r="E118" s="142"/>
      <c r="F118" s="143"/>
      <c r="G118" s="143"/>
      <c r="H118" s="143"/>
      <c r="I118" s="173"/>
      <c r="J118" s="132"/>
      <c r="K118" s="144"/>
      <c r="L118" s="132"/>
      <c r="M118" s="145"/>
      <c r="N118" s="145"/>
      <c r="O118" s="132"/>
      <c r="P118" s="132"/>
      <c r="Q118" s="146">
        <f aca="true" t="shared" si="8" ref="Q118:Q148">SUM(E118:P118)</f>
        <v>0</v>
      </c>
    </row>
    <row r="119" spans="1:17" ht="12.75" customHeight="1" hidden="1">
      <c r="A119" s="246">
        <v>2</v>
      </c>
      <c r="B119" s="393" t="s">
        <v>1</v>
      </c>
      <c r="C119" s="147"/>
      <c r="D119" s="148"/>
      <c r="E119" s="149"/>
      <c r="F119" s="150"/>
      <c r="G119" s="151"/>
      <c r="H119" s="151"/>
      <c r="I119" s="152"/>
      <c r="J119" s="133"/>
      <c r="K119" s="153"/>
      <c r="L119" s="153"/>
      <c r="M119" s="154"/>
      <c r="N119" s="154"/>
      <c r="O119" s="133"/>
      <c r="P119" s="133"/>
      <c r="Q119" s="155">
        <f t="shared" si="8"/>
        <v>0</v>
      </c>
    </row>
    <row r="120" spans="1:17" ht="12.75" customHeight="1" hidden="1">
      <c r="A120" s="246">
        <v>3</v>
      </c>
      <c r="B120" s="393" t="s">
        <v>2</v>
      </c>
      <c r="C120" s="147"/>
      <c r="D120" s="148"/>
      <c r="E120" s="149"/>
      <c r="F120" s="150"/>
      <c r="G120" s="151"/>
      <c r="H120" s="151"/>
      <c r="I120" s="150"/>
      <c r="J120" s="133"/>
      <c r="K120" s="153"/>
      <c r="L120" s="153"/>
      <c r="M120" s="153"/>
      <c r="N120" s="154"/>
      <c r="O120" s="133"/>
      <c r="P120" s="153"/>
      <c r="Q120" s="155">
        <f t="shared" si="8"/>
        <v>0</v>
      </c>
    </row>
    <row r="121" spans="1:17" ht="12.75" customHeight="1" hidden="1">
      <c r="A121" s="246">
        <v>4</v>
      </c>
      <c r="B121" s="393" t="s">
        <v>3</v>
      </c>
      <c r="C121" s="147"/>
      <c r="D121" s="148"/>
      <c r="E121" s="149"/>
      <c r="F121" s="150"/>
      <c r="G121" s="151"/>
      <c r="H121" s="151"/>
      <c r="I121" s="150"/>
      <c r="J121" s="133"/>
      <c r="K121" s="153"/>
      <c r="L121" s="153"/>
      <c r="M121" s="154"/>
      <c r="N121" s="154"/>
      <c r="O121" s="133"/>
      <c r="P121" s="153"/>
      <c r="Q121" s="155">
        <f t="shared" si="8"/>
        <v>0</v>
      </c>
    </row>
    <row r="122" spans="1:17" ht="12.75" customHeight="1" hidden="1">
      <c r="A122" s="246">
        <v>5</v>
      </c>
      <c r="B122" s="393" t="s">
        <v>4</v>
      </c>
      <c r="C122" s="147"/>
      <c r="D122" s="148"/>
      <c r="E122" s="149"/>
      <c r="F122" s="150"/>
      <c r="G122" s="151"/>
      <c r="H122" s="151"/>
      <c r="I122" s="150"/>
      <c r="J122" s="133"/>
      <c r="K122" s="153"/>
      <c r="L122" s="153"/>
      <c r="M122" s="153"/>
      <c r="N122" s="153"/>
      <c r="O122" s="133"/>
      <c r="P122" s="153"/>
      <c r="Q122" s="155">
        <f t="shared" si="8"/>
        <v>0</v>
      </c>
    </row>
    <row r="123" spans="1:17" ht="12.75" customHeight="1" hidden="1">
      <c r="A123" s="246">
        <v>6</v>
      </c>
      <c r="B123" s="393" t="s">
        <v>5</v>
      </c>
      <c r="C123" s="147"/>
      <c r="D123" s="148"/>
      <c r="E123" s="149"/>
      <c r="F123" s="150"/>
      <c r="G123" s="150"/>
      <c r="H123" s="150"/>
      <c r="I123" s="150"/>
      <c r="J123" s="153"/>
      <c r="K123" s="153"/>
      <c r="L123" s="153"/>
      <c r="M123" s="153"/>
      <c r="N123" s="153"/>
      <c r="O123" s="133"/>
      <c r="P123" s="153"/>
      <c r="Q123" s="155">
        <f t="shared" si="8"/>
        <v>0</v>
      </c>
    </row>
    <row r="124" spans="1:17" ht="12.75" customHeight="1" hidden="1">
      <c r="A124" s="246">
        <v>7</v>
      </c>
      <c r="B124" s="393" t="s">
        <v>6</v>
      </c>
      <c r="C124" s="147"/>
      <c r="D124" s="148"/>
      <c r="E124" s="149"/>
      <c r="F124" s="150"/>
      <c r="G124" s="151"/>
      <c r="H124" s="151"/>
      <c r="I124" s="152"/>
      <c r="J124" s="153"/>
      <c r="K124" s="153"/>
      <c r="L124" s="156"/>
      <c r="M124" s="153"/>
      <c r="N124" s="153"/>
      <c r="O124" s="133"/>
      <c r="P124" s="153"/>
      <c r="Q124" s="155">
        <f t="shared" si="8"/>
        <v>0</v>
      </c>
    </row>
    <row r="125" spans="1:17" ht="12.75" customHeight="1" hidden="1">
      <c r="A125" s="246">
        <v>8</v>
      </c>
      <c r="B125" s="393" t="s">
        <v>7</v>
      </c>
      <c r="C125" s="147"/>
      <c r="D125" s="148"/>
      <c r="E125" s="149"/>
      <c r="F125" s="150"/>
      <c r="G125" s="151"/>
      <c r="H125" s="151"/>
      <c r="I125" s="150"/>
      <c r="J125" s="153"/>
      <c r="K125" s="153"/>
      <c r="L125" s="156"/>
      <c r="M125" s="153"/>
      <c r="N125" s="156"/>
      <c r="O125" s="133"/>
      <c r="P125" s="153"/>
      <c r="Q125" s="155">
        <f t="shared" si="8"/>
        <v>0</v>
      </c>
    </row>
    <row r="126" spans="1:17" ht="12.75" customHeight="1" hidden="1">
      <c r="A126" s="246">
        <v>9</v>
      </c>
      <c r="B126" s="393" t="s">
        <v>8</v>
      </c>
      <c r="C126" s="147"/>
      <c r="D126" s="148"/>
      <c r="E126" s="158"/>
      <c r="F126" s="150"/>
      <c r="G126" s="151"/>
      <c r="H126" s="151"/>
      <c r="I126" s="150"/>
      <c r="J126" s="153"/>
      <c r="K126" s="153"/>
      <c r="L126" s="156"/>
      <c r="M126" s="153"/>
      <c r="N126" s="153"/>
      <c r="O126" s="133"/>
      <c r="P126" s="153"/>
      <c r="Q126" s="155">
        <f t="shared" si="8"/>
        <v>0</v>
      </c>
    </row>
    <row r="127" spans="1:17" ht="12.75" customHeight="1" hidden="1">
      <c r="A127" s="246">
        <v>10</v>
      </c>
      <c r="B127" s="393" t="s">
        <v>9</v>
      </c>
      <c r="C127" s="147"/>
      <c r="D127" s="148"/>
      <c r="E127" s="158"/>
      <c r="F127" s="150"/>
      <c r="G127" s="151"/>
      <c r="H127" s="151"/>
      <c r="I127" s="152"/>
      <c r="J127" s="153"/>
      <c r="K127" s="153"/>
      <c r="L127" s="156"/>
      <c r="M127" s="153"/>
      <c r="N127" s="153"/>
      <c r="O127" s="133"/>
      <c r="P127" s="153"/>
      <c r="Q127" s="155">
        <f t="shared" si="8"/>
        <v>0</v>
      </c>
    </row>
    <row r="128" spans="1:17" ht="12.75" customHeight="1" hidden="1">
      <c r="A128" s="246">
        <v>11</v>
      </c>
      <c r="B128" s="393" t="s">
        <v>10</v>
      </c>
      <c r="C128" s="147"/>
      <c r="D128" s="148"/>
      <c r="E128" s="158"/>
      <c r="F128" s="150"/>
      <c r="G128" s="151"/>
      <c r="H128" s="151"/>
      <c r="I128" s="150"/>
      <c r="J128" s="153"/>
      <c r="K128" s="153"/>
      <c r="L128" s="156"/>
      <c r="M128" s="153"/>
      <c r="N128" s="156"/>
      <c r="O128" s="133"/>
      <c r="P128" s="153"/>
      <c r="Q128" s="155">
        <f t="shared" si="8"/>
        <v>0</v>
      </c>
    </row>
    <row r="129" spans="1:17" ht="12.75" customHeight="1" hidden="1">
      <c r="A129" s="246">
        <v>12</v>
      </c>
      <c r="B129" s="393" t="s">
        <v>11</v>
      </c>
      <c r="C129" s="147"/>
      <c r="D129" s="148"/>
      <c r="E129" s="158"/>
      <c r="F129" s="150"/>
      <c r="G129" s="151"/>
      <c r="H129" s="151"/>
      <c r="I129" s="150"/>
      <c r="J129" s="153"/>
      <c r="K129" s="153"/>
      <c r="L129" s="153"/>
      <c r="M129" s="156"/>
      <c r="N129" s="156"/>
      <c r="O129" s="133"/>
      <c r="P129" s="153"/>
      <c r="Q129" s="155">
        <f t="shared" si="8"/>
        <v>0</v>
      </c>
    </row>
    <row r="130" spans="1:17" ht="12.75" customHeight="1" hidden="1">
      <c r="A130" s="246">
        <v>13</v>
      </c>
      <c r="B130" s="393" t="s">
        <v>13</v>
      </c>
      <c r="C130" s="147"/>
      <c r="D130" s="148"/>
      <c r="E130" s="158"/>
      <c r="F130" s="150"/>
      <c r="G130" s="151"/>
      <c r="H130" s="151"/>
      <c r="I130" s="152"/>
      <c r="J130" s="153"/>
      <c r="K130" s="153"/>
      <c r="L130" s="153"/>
      <c r="M130" s="156"/>
      <c r="N130" s="156"/>
      <c r="O130" s="133"/>
      <c r="P130" s="153"/>
      <c r="Q130" s="155">
        <f t="shared" si="8"/>
        <v>0</v>
      </c>
    </row>
    <row r="131" spans="1:17" ht="12.75" customHeight="1" hidden="1">
      <c r="A131" s="246">
        <v>14</v>
      </c>
      <c r="B131" s="393" t="s">
        <v>14</v>
      </c>
      <c r="C131" s="147"/>
      <c r="D131" s="148"/>
      <c r="E131" s="158"/>
      <c r="F131" s="150"/>
      <c r="G131" s="151"/>
      <c r="H131" s="151"/>
      <c r="I131" s="150"/>
      <c r="J131" s="153"/>
      <c r="K131" s="153"/>
      <c r="L131" s="156"/>
      <c r="M131" s="156"/>
      <c r="N131" s="156"/>
      <c r="O131" s="133"/>
      <c r="P131" s="153"/>
      <c r="Q131" s="155">
        <f t="shared" si="8"/>
        <v>0</v>
      </c>
    </row>
    <row r="132" spans="1:17" ht="12.75" customHeight="1" hidden="1">
      <c r="A132" s="246">
        <v>15</v>
      </c>
      <c r="B132" s="393" t="s">
        <v>15</v>
      </c>
      <c r="C132" s="147"/>
      <c r="D132" s="148"/>
      <c r="E132" s="158"/>
      <c r="F132" s="150"/>
      <c r="G132" s="151"/>
      <c r="H132" s="151"/>
      <c r="I132" s="150"/>
      <c r="J132" s="133"/>
      <c r="K132" s="153"/>
      <c r="L132" s="156"/>
      <c r="M132" s="156"/>
      <c r="N132" s="156"/>
      <c r="O132" s="133"/>
      <c r="P132" s="153"/>
      <c r="Q132" s="155">
        <f t="shared" si="8"/>
        <v>0</v>
      </c>
    </row>
    <row r="133" spans="1:17" ht="12.75" customHeight="1" hidden="1">
      <c r="A133" s="246">
        <v>16</v>
      </c>
      <c r="B133" s="393" t="s">
        <v>16</v>
      </c>
      <c r="C133" s="147"/>
      <c r="D133" s="148"/>
      <c r="E133" s="158"/>
      <c r="F133" s="150"/>
      <c r="G133" s="151"/>
      <c r="H133" s="151"/>
      <c r="I133" s="152"/>
      <c r="J133" s="133"/>
      <c r="K133" s="153"/>
      <c r="L133" s="156"/>
      <c r="M133" s="153"/>
      <c r="N133" s="153"/>
      <c r="O133" s="133"/>
      <c r="P133" s="153"/>
      <c r="Q133" s="155">
        <f t="shared" si="8"/>
        <v>0</v>
      </c>
    </row>
    <row r="134" spans="1:17" ht="12.75" customHeight="1" hidden="1">
      <c r="A134" s="246">
        <v>17</v>
      </c>
      <c r="B134" s="393" t="s">
        <v>17</v>
      </c>
      <c r="C134" s="147"/>
      <c r="D134" s="148"/>
      <c r="E134" s="158"/>
      <c r="F134" s="150"/>
      <c r="G134" s="151"/>
      <c r="H134" s="151"/>
      <c r="I134" s="150"/>
      <c r="J134" s="133"/>
      <c r="K134" s="153"/>
      <c r="L134" s="156"/>
      <c r="M134" s="153"/>
      <c r="N134" s="153"/>
      <c r="O134" s="133"/>
      <c r="P134" s="153"/>
      <c r="Q134" s="155">
        <f t="shared" si="8"/>
        <v>0</v>
      </c>
    </row>
    <row r="135" spans="1:17" ht="12.75" customHeight="1" hidden="1">
      <c r="A135" s="246">
        <v>18</v>
      </c>
      <c r="B135" s="393" t="s">
        <v>18</v>
      </c>
      <c r="C135" s="147"/>
      <c r="D135" s="148"/>
      <c r="E135" s="249"/>
      <c r="F135" s="150"/>
      <c r="G135" s="151"/>
      <c r="H135" s="151"/>
      <c r="I135" s="150"/>
      <c r="J135" s="153"/>
      <c r="K135" s="153"/>
      <c r="L135" s="153"/>
      <c r="M135" s="153"/>
      <c r="N135" s="153"/>
      <c r="O135" s="133"/>
      <c r="P135" s="153"/>
      <c r="Q135" s="155">
        <f t="shared" si="8"/>
        <v>0</v>
      </c>
    </row>
    <row r="136" spans="1:17" ht="12.75" customHeight="1" hidden="1">
      <c r="A136" s="246">
        <v>19</v>
      </c>
      <c r="B136" s="393" t="s">
        <v>19</v>
      </c>
      <c r="C136" s="147"/>
      <c r="D136" s="148"/>
      <c r="E136" s="158"/>
      <c r="F136" s="150"/>
      <c r="G136" s="151"/>
      <c r="H136" s="151"/>
      <c r="I136" s="150"/>
      <c r="J136" s="156"/>
      <c r="K136" s="153"/>
      <c r="L136" s="156"/>
      <c r="M136" s="156"/>
      <c r="N136" s="156"/>
      <c r="O136" s="133"/>
      <c r="P136" s="153"/>
      <c r="Q136" s="155">
        <f t="shared" si="8"/>
        <v>0</v>
      </c>
    </row>
    <row r="137" spans="1:17" ht="12.75" customHeight="1" hidden="1">
      <c r="A137" s="246">
        <v>20</v>
      </c>
      <c r="B137" s="393" t="s">
        <v>20</v>
      </c>
      <c r="C137" s="159"/>
      <c r="D137" s="150"/>
      <c r="E137" s="158"/>
      <c r="F137" s="150"/>
      <c r="G137" s="151"/>
      <c r="H137" s="151"/>
      <c r="I137" s="150"/>
      <c r="J137" s="156"/>
      <c r="K137" s="153"/>
      <c r="L137" s="156"/>
      <c r="M137" s="156"/>
      <c r="N137" s="156"/>
      <c r="O137" s="133"/>
      <c r="P137" s="153"/>
      <c r="Q137" s="155">
        <f t="shared" si="8"/>
        <v>0</v>
      </c>
    </row>
    <row r="138" spans="1:17" ht="12.75" customHeight="1" hidden="1">
      <c r="A138" s="246">
        <v>21</v>
      </c>
      <c r="B138" s="393" t="s">
        <v>21</v>
      </c>
      <c r="C138" s="159"/>
      <c r="D138" s="152"/>
      <c r="E138" s="158"/>
      <c r="F138" s="150"/>
      <c r="G138" s="151"/>
      <c r="H138" s="151"/>
      <c r="I138" s="150"/>
      <c r="J138" s="156"/>
      <c r="K138" s="153"/>
      <c r="L138" s="156"/>
      <c r="M138" s="153"/>
      <c r="N138" s="153"/>
      <c r="O138" s="133"/>
      <c r="P138" s="133"/>
      <c r="Q138" s="155">
        <f t="shared" si="8"/>
        <v>0</v>
      </c>
    </row>
    <row r="139" spans="1:17" ht="12.75" customHeight="1" hidden="1">
      <c r="A139" s="246">
        <v>22</v>
      </c>
      <c r="B139" s="393" t="s">
        <v>22</v>
      </c>
      <c r="C139" s="159"/>
      <c r="D139" s="152"/>
      <c r="E139" s="158"/>
      <c r="F139" s="150"/>
      <c r="G139" s="151"/>
      <c r="H139" s="151"/>
      <c r="I139" s="150"/>
      <c r="J139" s="133"/>
      <c r="K139" s="153"/>
      <c r="L139" s="156"/>
      <c r="M139" s="153"/>
      <c r="N139" s="153"/>
      <c r="O139" s="133"/>
      <c r="P139" s="133"/>
      <c r="Q139" s="155">
        <f t="shared" si="8"/>
        <v>0</v>
      </c>
    </row>
    <row r="140" spans="1:17" ht="12.75" customHeight="1" hidden="1">
      <c r="A140" s="246">
        <v>23</v>
      </c>
      <c r="B140" s="393" t="s">
        <v>23</v>
      </c>
      <c r="C140" s="159"/>
      <c r="D140" s="152"/>
      <c r="E140" s="158"/>
      <c r="F140" s="150"/>
      <c r="G140" s="151"/>
      <c r="H140" s="151"/>
      <c r="I140" s="152"/>
      <c r="J140" s="133"/>
      <c r="K140" s="153"/>
      <c r="L140" s="156"/>
      <c r="M140" s="156"/>
      <c r="N140" s="156"/>
      <c r="O140" s="133"/>
      <c r="P140" s="133"/>
      <c r="Q140" s="155">
        <f t="shared" si="8"/>
        <v>0</v>
      </c>
    </row>
    <row r="141" spans="1:17" ht="12.75" customHeight="1" hidden="1">
      <c r="A141" s="246">
        <v>24</v>
      </c>
      <c r="B141" s="393" t="s">
        <v>25</v>
      </c>
      <c r="C141" s="159"/>
      <c r="D141" s="152"/>
      <c r="E141" s="158"/>
      <c r="F141" s="150"/>
      <c r="G141" s="152"/>
      <c r="H141" s="152"/>
      <c r="I141" s="152"/>
      <c r="J141" s="133"/>
      <c r="K141" s="153"/>
      <c r="L141" s="133"/>
      <c r="M141" s="133"/>
      <c r="N141" s="133"/>
      <c r="O141" s="133"/>
      <c r="P141" s="133"/>
      <c r="Q141" s="155">
        <f t="shared" si="8"/>
        <v>0</v>
      </c>
    </row>
    <row r="142" spans="1:17" ht="12.75" customHeight="1" hidden="1">
      <c r="A142" s="246">
        <v>25</v>
      </c>
      <c r="B142" s="393" t="s">
        <v>26</v>
      </c>
      <c r="C142" s="159"/>
      <c r="D142" s="152"/>
      <c r="E142" s="158"/>
      <c r="F142" s="150"/>
      <c r="G142" s="152"/>
      <c r="H142" s="152"/>
      <c r="I142" s="152"/>
      <c r="J142" s="133"/>
      <c r="K142" s="153"/>
      <c r="L142" s="133"/>
      <c r="M142" s="133"/>
      <c r="N142" s="133"/>
      <c r="O142" s="133"/>
      <c r="P142" s="133"/>
      <c r="Q142" s="155">
        <f t="shared" si="8"/>
        <v>0</v>
      </c>
    </row>
    <row r="143" spans="1:17" ht="12.75" customHeight="1" hidden="1">
      <c r="A143" s="246">
        <v>26</v>
      </c>
      <c r="B143" s="393" t="s">
        <v>29</v>
      </c>
      <c r="C143" s="159"/>
      <c r="D143" s="152"/>
      <c r="E143" s="158"/>
      <c r="F143" s="150"/>
      <c r="G143" s="152"/>
      <c r="H143" s="152"/>
      <c r="I143" s="148"/>
      <c r="J143" s="133"/>
      <c r="K143" s="153"/>
      <c r="L143" s="133"/>
      <c r="M143" s="133"/>
      <c r="N143" s="133"/>
      <c r="O143" s="133"/>
      <c r="P143" s="133"/>
      <c r="Q143" s="155">
        <f t="shared" si="8"/>
        <v>0</v>
      </c>
    </row>
    <row r="144" spans="1:17" ht="12.75" customHeight="1" hidden="1">
      <c r="A144" s="246">
        <v>27</v>
      </c>
      <c r="B144" s="393" t="s">
        <v>31</v>
      </c>
      <c r="C144" s="159"/>
      <c r="D144" s="152"/>
      <c r="E144" s="158"/>
      <c r="F144" s="150"/>
      <c r="G144" s="152"/>
      <c r="H144" s="152"/>
      <c r="I144" s="148"/>
      <c r="J144" s="133"/>
      <c r="K144" s="153"/>
      <c r="L144" s="156"/>
      <c r="M144" s="133"/>
      <c r="N144" s="133"/>
      <c r="O144" s="133"/>
      <c r="P144" s="133"/>
      <c r="Q144" s="155">
        <f t="shared" si="8"/>
        <v>0</v>
      </c>
    </row>
    <row r="145" spans="1:17" ht="12.75" customHeight="1" hidden="1">
      <c r="A145" s="246">
        <v>28</v>
      </c>
      <c r="B145" s="393" t="s">
        <v>32</v>
      </c>
      <c r="C145" s="159"/>
      <c r="D145" s="152"/>
      <c r="E145" s="158"/>
      <c r="F145" s="150"/>
      <c r="G145" s="152"/>
      <c r="H145" s="152"/>
      <c r="I145" s="148"/>
      <c r="J145" s="133"/>
      <c r="K145" s="153"/>
      <c r="L145" s="133"/>
      <c r="M145" s="153"/>
      <c r="N145" s="153"/>
      <c r="O145" s="133"/>
      <c r="P145" s="133"/>
      <c r="Q145" s="155">
        <f t="shared" si="8"/>
        <v>0</v>
      </c>
    </row>
    <row r="146" spans="1:17" ht="12.75" customHeight="1" hidden="1">
      <c r="A146" s="246">
        <v>29</v>
      </c>
      <c r="B146" s="393" t="s">
        <v>34</v>
      </c>
      <c r="C146" s="159"/>
      <c r="D146" s="152"/>
      <c r="E146" s="158"/>
      <c r="F146" s="150"/>
      <c r="G146" s="152"/>
      <c r="H146" s="152"/>
      <c r="I146" s="160"/>
      <c r="J146" s="133"/>
      <c r="K146" s="153"/>
      <c r="L146" s="133"/>
      <c r="M146" s="153"/>
      <c r="N146" s="153"/>
      <c r="O146" s="133"/>
      <c r="P146" s="133"/>
      <c r="Q146" s="155">
        <f t="shared" si="8"/>
        <v>0</v>
      </c>
    </row>
    <row r="147" spans="1:17" ht="12.75" customHeight="1" hidden="1">
      <c r="A147" s="246">
        <v>30</v>
      </c>
      <c r="B147" s="393" t="s">
        <v>41</v>
      </c>
      <c r="C147" s="159"/>
      <c r="D147" s="152"/>
      <c r="E147" s="152"/>
      <c r="F147" s="150"/>
      <c r="G147" s="160"/>
      <c r="H147" s="160"/>
      <c r="I147" s="161"/>
      <c r="J147" s="133"/>
      <c r="K147" s="153"/>
      <c r="L147" s="162"/>
      <c r="M147" s="133"/>
      <c r="N147" s="133"/>
      <c r="O147" s="133"/>
      <c r="P147" s="133"/>
      <c r="Q147" s="155">
        <f t="shared" si="8"/>
        <v>0</v>
      </c>
    </row>
    <row r="148" spans="1:17" ht="12.75" customHeight="1" hidden="1" thickBot="1">
      <c r="A148" s="246">
        <v>31</v>
      </c>
      <c r="B148" s="394" t="s">
        <v>38</v>
      </c>
      <c r="C148" s="163"/>
      <c r="D148" s="164"/>
      <c r="E148" s="166"/>
      <c r="F148" s="166"/>
      <c r="G148" s="166"/>
      <c r="H148" s="166"/>
      <c r="I148" s="167"/>
      <c r="J148" s="134"/>
      <c r="K148" s="168"/>
      <c r="L148" s="169"/>
      <c r="M148" s="134"/>
      <c r="N148" s="134"/>
      <c r="O148" s="134"/>
      <c r="P148" s="134"/>
      <c r="Q148" s="155">
        <f t="shared" si="8"/>
        <v>0</v>
      </c>
    </row>
    <row r="149" spans="2:17" s="178" customFormat="1" ht="12.75" customHeight="1" hidden="1" thickBot="1">
      <c r="B149" s="409" t="s">
        <v>12</v>
      </c>
      <c r="C149" s="239">
        <f>SUM(C137:C148)</f>
        <v>0</v>
      </c>
      <c r="D149" s="239">
        <f>SUM(D137:D148)</f>
        <v>0</v>
      </c>
      <c r="E149" s="240">
        <f>SUM(E118:E147)+E148</f>
        <v>0</v>
      </c>
      <c r="F149" s="241">
        <f aca="true" t="shared" si="9" ref="F149:P149">SUM(F118:F147)</f>
        <v>0</v>
      </c>
      <c r="G149" s="241">
        <f>SUM(G118:G147)+G148</f>
        <v>0</v>
      </c>
      <c r="H149" s="241"/>
      <c r="I149" s="241">
        <f t="shared" si="9"/>
        <v>0</v>
      </c>
      <c r="J149" s="241">
        <f>SUM(J118:J147)</f>
        <v>0</v>
      </c>
      <c r="K149" s="241">
        <f>SUM(K118:K147)+K148</f>
        <v>0</v>
      </c>
      <c r="L149" s="241">
        <f t="shared" si="9"/>
        <v>0</v>
      </c>
      <c r="M149" s="258">
        <f t="shared" si="9"/>
        <v>0</v>
      </c>
      <c r="N149" s="258">
        <f t="shared" si="9"/>
        <v>0</v>
      </c>
      <c r="O149" s="258">
        <f t="shared" si="9"/>
        <v>0</v>
      </c>
      <c r="P149" s="258">
        <f t="shared" si="9"/>
        <v>0</v>
      </c>
      <c r="Q149" s="234">
        <f>SUM(Q118:Q147)+Q148</f>
        <v>0</v>
      </c>
    </row>
    <row r="150" spans="2:17" s="178" customFormat="1" ht="12.75" customHeight="1" hidden="1" thickBot="1">
      <c r="B150" s="179"/>
      <c r="C150" s="207">
        <v>2110</v>
      </c>
      <c r="D150" s="207">
        <v>2111</v>
      </c>
      <c r="E150" s="207">
        <v>2210</v>
      </c>
      <c r="F150" s="321">
        <v>2230</v>
      </c>
      <c r="G150" s="321">
        <v>2240</v>
      </c>
      <c r="H150" s="321"/>
      <c r="I150" s="321">
        <v>2271</v>
      </c>
      <c r="J150" s="322">
        <v>2272</v>
      </c>
      <c r="K150" s="322">
        <v>2273</v>
      </c>
      <c r="L150" s="321">
        <v>2274</v>
      </c>
      <c r="M150" s="321">
        <v>2275</v>
      </c>
      <c r="N150" s="121">
        <v>2800</v>
      </c>
      <c r="O150" s="121">
        <v>2730</v>
      </c>
      <c r="P150" s="15">
        <v>2282</v>
      </c>
      <c r="Q150" s="234">
        <f>C149+D149+E149+F149+G149+I149+J149+K149+L149+M149+N149+O149+P149</f>
        <v>0</v>
      </c>
    </row>
    <row r="151" spans="2:17" s="178" customFormat="1" ht="12.75" customHeight="1" hidden="1" thickBot="1">
      <c r="B151" s="63" t="s">
        <v>42</v>
      </c>
      <c r="C151" s="63"/>
      <c r="D151" s="63"/>
      <c r="E151" s="130"/>
      <c r="F151" s="244"/>
      <c r="G151" s="244"/>
      <c r="H151" s="244"/>
      <c r="I151" s="244"/>
      <c r="J151" s="260"/>
      <c r="K151" s="260"/>
      <c r="L151" s="244"/>
      <c r="M151" s="244"/>
      <c r="N151" s="244"/>
      <c r="O151" s="317"/>
      <c r="P151" s="208"/>
      <c r="Q151" s="234">
        <f>SUM(E151:P151)</f>
        <v>0</v>
      </c>
    </row>
    <row r="152" spans="2:17" ht="12.75" customHeight="1" hidden="1">
      <c r="B152" s="337" t="s">
        <v>12</v>
      </c>
      <c r="C152" s="357"/>
      <c r="D152" s="357"/>
      <c r="E152" s="358">
        <f>SUM(E151)</f>
        <v>0</v>
      </c>
      <c r="F152" s="410">
        <f aca="true" t="shared" si="10" ref="F152:P152">SUM(F151)</f>
        <v>0</v>
      </c>
      <c r="G152" s="410">
        <f t="shared" si="10"/>
        <v>0</v>
      </c>
      <c r="H152" s="410"/>
      <c r="I152" s="410">
        <f t="shared" si="10"/>
        <v>0</v>
      </c>
      <c r="J152" s="410">
        <f t="shared" si="10"/>
        <v>0</v>
      </c>
      <c r="K152" s="410">
        <f t="shared" si="10"/>
        <v>0</v>
      </c>
      <c r="L152" s="410">
        <f t="shared" si="10"/>
        <v>0</v>
      </c>
      <c r="M152" s="410">
        <f t="shared" si="10"/>
        <v>0</v>
      </c>
      <c r="N152" s="358">
        <f t="shared" si="10"/>
        <v>0</v>
      </c>
      <c r="O152" s="358">
        <f t="shared" si="10"/>
        <v>0</v>
      </c>
      <c r="P152" s="358">
        <f t="shared" si="10"/>
        <v>0</v>
      </c>
      <c r="Q152" s="358">
        <f>SUM(E152:P152)</f>
        <v>0</v>
      </c>
    </row>
    <row r="153" spans="2:17" ht="12.75" customHeight="1" hidden="1">
      <c r="B153" s="435"/>
      <c r="C153" s="435"/>
      <c r="D153" s="435"/>
      <c r="E153" s="435"/>
      <c r="F153" s="435"/>
      <c r="G153" s="435"/>
      <c r="H153" s="435"/>
      <c r="I153" s="435"/>
      <c r="J153" s="435"/>
      <c r="K153" s="435"/>
      <c r="L153" s="435"/>
      <c r="M153" s="435"/>
      <c r="N153" s="435"/>
      <c r="O153" s="435"/>
      <c r="P153" s="435"/>
      <c r="Q153" s="435"/>
    </row>
    <row r="154" spans="2:17" ht="12.75" customHeight="1" hidden="1">
      <c r="B154" s="64"/>
      <c r="C154" s="64"/>
      <c r="D154" s="64"/>
      <c r="E154" s="64"/>
      <c r="F154" s="64"/>
      <c r="G154" s="87"/>
      <c r="H154" s="87"/>
      <c r="I154" s="64"/>
      <c r="J154" s="64"/>
      <c r="K154" s="64"/>
      <c r="L154" s="64"/>
      <c r="M154" s="64"/>
      <c r="N154" s="64"/>
      <c r="O154" s="64"/>
      <c r="P154" s="64"/>
      <c r="Q154" s="64"/>
    </row>
    <row r="155" spans="2:17" ht="12.75" customHeight="1" hidden="1" thickBot="1">
      <c r="B155" s="436" t="s">
        <v>59</v>
      </c>
      <c r="C155" s="436"/>
      <c r="D155" s="436"/>
      <c r="E155" s="436"/>
      <c r="F155" s="436"/>
      <c r="G155" s="436"/>
      <c r="H155" s="436"/>
      <c r="I155" s="436"/>
      <c r="J155" s="436"/>
      <c r="K155" s="436"/>
      <c r="L155" s="436"/>
      <c r="M155" s="436"/>
      <c r="N155" s="436"/>
      <c r="O155" s="436"/>
      <c r="P155" s="436"/>
      <c r="Q155" s="436"/>
    </row>
    <row r="156" spans="2:17" ht="12.75" customHeight="1" hidden="1" thickBot="1">
      <c r="B156" s="18" t="s">
        <v>36</v>
      </c>
      <c r="C156" s="211">
        <v>2110</v>
      </c>
      <c r="D156" s="211">
        <v>2111</v>
      </c>
      <c r="E156" s="207">
        <v>2210</v>
      </c>
      <c r="F156" s="120">
        <v>2230</v>
      </c>
      <c r="G156" s="120">
        <v>2240</v>
      </c>
      <c r="H156" s="120"/>
      <c r="I156" s="120">
        <v>2271</v>
      </c>
      <c r="J156" s="15">
        <v>2272</v>
      </c>
      <c r="K156" s="15">
        <v>2273</v>
      </c>
      <c r="L156" s="121">
        <v>2274</v>
      </c>
      <c r="M156" s="121">
        <v>2275</v>
      </c>
      <c r="N156" s="121">
        <v>2800</v>
      </c>
      <c r="O156" s="121">
        <v>2730</v>
      </c>
      <c r="P156" s="15">
        <v>2282</v>
      </c>
      <c r="Q156" s="226" t="s">
        <v>35</v>
      </c>
    </row>
    <row r="157" spans="1:17" ht="12.75" customHeight="1" hidden="1">
      <c r="A157" s="246">
        <v>1</v>
      </c>
      <c r="B157" s="21" t="s">
        <v>0</v>
      </c>
      <c r="C157" s="43"/>
      <c r="D157" s="44"/>
      <c r="E157" s="105"/>
      <c r="F157" s="92"/>
      <c r="G157" s="92"/>
      <c r="H157" s="92"/>
      <c r="I157" s="92"/>
      <c r="J157" s="46"/>
      <c r="K157" s="28"/>
      <c r="L157" s="46"/>
      <c r="M157" s="48"/>
      <c r="N157" s="48"/>
      <c r="O157" s="49"/>
      <c r="P157" s="49"/>
      <c r="Q157" s="31">
        <f>SUM(E157:P157)</f>
        <v>0</v>
      </c>
    </row>
    <row r="158" spans="1:17" ht="12.75" customHeight="1" hidden="1">
      <c r="A158" s="246">
        <v>2</v>
      </c>
      <c r="B158" s="22" t="s">
        <v>1</v>
      </c>
      <c r="C158" s="17"/>
      <c r="D158" s="3"/>
      <c r="E158" s="106"/>
      <c r="F158" s="95"/>
      <c r="G158" s="95"/>
      <c r="H158" s="95"/>
      <c r="I158" s="96"/>
      <c r="J158" s="4"/>
      <c r="K158" s="29"/>
      <c r="L158" s="34"/>
      <c r="M158" s="6"/>
      <c r="N158" s="6"/>
      <c r="O158" s="1"/>
      <c r="P158" s="1"/>
      <c r="Q158" s="37">
        <f>SUM(E158:P158)</f>
        <v>0</v>
      </c>
    </row>
    <row r="159" spans="1:17" ht="12.75" customHeight="1" hidden="1">
      <c r="A159" s="246">
        <v>3</v>
      </c>
      <c r="B159" s="22" t="s">
        <v>2</v>
      </c>
      <c r="C159" s="17"/>
      <c r="D159" s="3"/>
      <c r="E159" s="106"/>
      <c r="F159" s="95"/>
      <c r="G159" s="95"/>
      <c r="H159" s="95"/>
      <c r="I159" s="95"/>
      <c r="J159" s="4"/>
      <c r="K159" s="29"/>
      <c r="L159" s="34"/>
      <c r="M159" s="29"/>
      <c r="N159" s="6"/>
      <c r="O159" s="1"/>
      <c r="P159" s="1"/>
      <c r="Q159" s="37">
        <f>SUM(E159:P159)</f>
        <v>0</v>
      </c>
    </row>
    <row r="160" spans="1:17" ht="12.75" customHeight="1" hidden="1">
      <c r="A160" s="246">
        <v>4</v>
      </c>
      <c r="B160" s="22" t="s">
        <v>3</v>
      </c>
      <c r="C160" s="17"/>
      <c r="D160" s="3"/>
      <c r="E160" s="106"/>
      <c r="F160" s="95"/>
      <c r="G160" s="95"/>
      <c r="H160" s="95"/>
      <c r="I160" s="96"/>
      <c r="J160" s="4"/>
      <c r="K160" s="29"/>
      <c r="L160" s="34"/>
      <c r="M160" s="6"/>
      <c r="N160" s="6"/>
      <c r="O160" s="1"/>
      <c r="P160" s="113"/>
      <c r="Q160" s="37">
        <f aca="true" t="shared" si="11" ref="Q160:Q175">SUM(E160:P160)</f>
        <v>0</v>
      </c>
    </row>
    <row r="161" spans="1:17" ht="12.75" customHeight="1" hidden="1">
      <c r="A161" s="246">
        <v>5</v>
      </c>
      <c r="B161" s="22" t="s">
        <v>4</v>
      </c>
      <c r="C161" s="17"/>
      <c r="D161" s="3"/>
      <c r="E161" s="106"/>
      <c r="F161" s="95"/>
      <c r="G161" s="95"/>
      <c r="H161" s="95"/>
      <c r="I161" s="95"/>
      <c r="J161" s="4"/>
      <c r="K161" s="29"/>
      <c r="L161" s="34"/>
      <c r="M161" s="6"/>
      <c r="N161" s="6"/>
      <c r="O161" s="1"/>
      <c r="P161" s="113"/>
      <c r="Q161" s="37">
        <f t="shared" si="11"/>
        <v>0</v>
      </c>
    </row>
    <row r="162" spans="1:17" ht="12.75" customHeight="1" hidden="1">
      <c r="A162" s="246">
        <v>6</v>
      </c>
      <c r="B162" s="22" t="s">
        <v>5</v>
      </c>
      <c r="C162" s="17"/>
      <c r="D162" s="3"/>
      <c r="E162" s="106"/>
      <c r="F162" s="95"/>
      <c r="G162" s="95"/>
      <c r="H162" s="95"/>
      <c r="I162" s="95"/>
      <c r="J162" s="29"/>
      <c r="K162" s="29"/>
      <c r="L162" s="34"/>
      <c r="M162" s="6"/>
      <c r="N162" s="29"/>
      <c r="O162" s="1"/>
      <c r="P162" s="113"/>
      <c r="Q162" s="37">
        <f>SUM(E162:P162)</f>
        <v>0</v>
      </c>
    </row>
    <row r="163" spans="1:17" ht="12.75" customHeight="1" hidden="1">
      <c r="A163" s="246">
        <v>7</v>
      </c>
      <c r="B163" s="22" t="s">
        <v>6</v>
      </c>
      <c r="C163" s="17"/>
      <c r="D163" s="3"/>
      <c r="E163" s="106"/>
      <c r="F163" s="95"/>
      <c r="G163" s="95"/>
      <c r="H163" s="95"/>
      <c r="I163" s="95"/>
      <c r="J163" s="29"/>
      <c r="K163" s="29"/>
      <c r="L163" s="35"/>
      <c r="M163" s="6"/>
      <c r="N163" s="6"/>
      <c r="O163" s="1"/>
      <c r="P163" s="113"/>
      <c r="Q163" s="37">
        <f t="shared" si="11"/>
        <v>0</v>
      </c>
    </row>
    <row r="164" spans="1:17" ht="12.75" customHeight="1" hidden="1">
      <c r="A164" s="246">
        <v>8</v>
      </c>
      <c r="B164" s="22" t="s">
        <v>7</v>
      </c>
      <c r="C164" s="17"/>
      <c r="D164" s="3"/>
      <c r="E164" s="106"/>
      <c r="F164" s="95"/>
      <c r="G164" s="95"/>
      <c r="H164" s="95"/>
      <c r="I164" s="95"/>
      <c r="J164" s="36"/>
      <c r="K164" s="29"/>
      <c r="L164" s="35"/>
      <c r="M164" s="4"/>
      <c r="N164" s="4"/>
      <c r="O164" s="1"/>
      <c r="P164" s="113"/>
      <c r="Q164" s="37">
        <f t="shared" si="11"/>
        <v>0</v>
      </c>
    </row>
    <row r="165" spans="1:17" ht="12.75" customHeight="1" hidden="1">
      <c r="A165" s="246">
        <v>9</v>
      </c>
      <c r="B165" s="22" t="s">
        <v>8</v>
      </c>
      <c r="C165" s="17"/>
      <c r="D165" s="3"/>
      <c r="E165" s="106"/>
      <c r="F165" s="95"/>
      <c r="G165" s="95"/>
      <c r="H165" s="95"/>
      <c r="I165" s="95"/>
      <c r="J165" s="36"/>
      <c r="K165" s="29"/>
      <c r="L165" s="35"/>
      <c r="M165" s="6"/>
      <c r="N165" s="6"/>
      <c r="O165" s="1"/>
      <c r="P165" s="113"/>
      <c r="Q165" s="37">
        <f t="shared" si="11"/>
        <v>0</v>
      </c>
    </row>
    <row r="166" spans="1:17" ht="12.75" customHeight="1" hidden="1">
      <c r="A166" s="246">
        <v>10</v>
      </c>
      <c r="B166" s="22" t="s">
        <v>9</v>
      </c>
      <c r="C166" s="17"/>
      <c r="D166" s="3"/>
      <c r="E166" s="106"/>
      <c r="F166" s="95"/>
      <c r="G166" s="95"/>
      <c r="H166" s="95"/>
      <c r="I166" s="95"/>
      <c r="J166" s="36"/>
      <c r="K166" s="29"/>
      <c r="L166" s="35"/>
      <c r="M166" s="6"/>
      <c r="N166" s="6"/>
      <c r="O166" s="1"/>
      <c r="P166" s="113"/>
      <c r="Q166" s="37">
        <f t="shared" si="11"/>
        <v>0</v>
      </c>
    </row>
    <row r="167" spans="1:17" ht="12.75" customHeight="1" hidden="1">
      <c r="A167" s="246">
        <v>11</v>
      </c>
      <c r="B167" s="22" t="s">
        <v>10</v>
      </c>
      <c r="C167" s="17"/>
      <c r="D167" s="3"/>
      <c r="E167" s="106"/>
      <c r="F167" s="95"/>
      <c r="G167" s="95"/>
      <c r="H167" s="95"/>
      <c r="I167" s="95"/>
      <c r="J167" s="29"/>
      <c r="K167" s="29"/>
      <c r="L167" s="35"/>
      <c r="M167" s="4"/>
      <c r="N167" s="4"/>
      <c r="O167" s="1"/>
      <c r="P167" s="113"/>
      <c r="Q167" s="37">
        <f t="shared" si="11"/>
        <v>0</v>
      </c>
    </row>
    <row r="168" spans="1:17" ht="12.75" customHeight="1" hidden="1">
      <c r="A168" s="246">
        <v>12</v>
      </c>
      <c r="B168" s="22" t="s">
        <v>11</v>
      </c>
      <c r="C168" s="17"/>
      <c r="D168" s="3"/>
      <c r="E168" s="106"/>
      <c r="F168" s="95"/>
      <c r="G168" s="95"/>
      <c r="H168" s="95"/>
      <c r="I168" s="95"/>
      <c r="J168" s="36"/>
      <c r="K168" s="29"/>
      <c r="L168" s="34"/>
      <c r="M168" s="4"/>
      <c r="N168" s="4"/>
      <c r="O168" s="1"/>
      <c r="P168" s="113"/>
      <c r="Q168" s="37">
        <f t="shared" si="11"/>
        <v>0</v>
      </c>
    </row>
    <row r="169" spans="1:17" ht="12.75" customHeight="1" hidden="1">
      <c r="A169" s="246">
        <v>13</v>
      </c>
      <c r="B169" s="22" t="s">
        <v>13</v>
      </c>
      <c r="C169" s="17"/>
      <c r="D169" s="3"/>
      <c r="E169" s="106"/>
      <c r="F169" s="95"/>
      <c r="G169" s="95"/>
      <c r="H169" s="95"/>
      <c r="I169" s="95"/>
      <c r="J169" s="36"/>
      <c r="K169" s="29"/>
      <c r="L169" s="35"/>
      <c r="M169" s="4"/>
      <c r="N169" s="4"/>
      <c r="O169" s="1"/>
      <c r="P169" s="113"/>
      <c r="Q169" s="37">
        <f t="shared" si="11"/>
        <v>0</v>
      </c>
    </row>
    <row r="170" spans="1:17" ht="12.75" customHeight="1" hidden="1">
      <c r="A170" s="246">
        <v>14</v>
      </c>
      <c r="B170" s="22" t="s">
        <v>14</v>
      </c>
      <c r="C170" s="17"/>
      <c r="D170" s="3"/>
      <c r="E170" s="106"/>
      <c r="F170" s="95"/>
      <c r="G170" s="95"/>
      <c r="H170" s="95"/>
      <c r="I170" s="95"/>
      <c r="J170" s="36"/>
      <c r="K170" s="29"/>
      <c r="L170" s="35"/>
      <c r="M170" s="4"/>
      <c r="N170" s="4"/>
      <c r="O170" s="1"/>
      <c r="P170" s="113"/>
      <c r="Q170" s="37">
        <f t="shared" si="11"/>
        <v>0</v>
      </c>
    </row>
    <row r="171" spans="1:17" ht="12.75" customHeight="1" hidden="1">
      <c r="A171" s="246">
        <v>15</v>
      </c>
      <c r="B171" s="22" t="s">
        <v>15</v>
      </c>
      <c r="C171" s="17"/>
      <c r="D171" s="3"/>
      <c r="E171" s="106"/>
      <c r="F171" s="95"/>
      <c r="G171" s="95"/>
      <c r="H171" s="95"/>
      <c r="I171" s="95"/>
      <c r="J171" s="36"/>
      <c r="K171" s="29"/>
      <c r="L171" s="35"/>
      <c r="M171" s="4"/>
      <c r="N171" s="4"/>
      <c r="O171" s="1"/>
      <c r="P171" s="113"/>
      <c r="Q171" s="37">
        <f t="shared" si="11"/>
        <v>0</v>
      </c>
    </row>
    <row r="172" spans="1:17" ht="12.75" customHeight="1" hidden="1">
      <c r="A172" s="246">
        <v>16</v>
      </c>
      <c r="B172" s="22" t="s">
        <v>16</v>
      </c>
      <c r="C172" s="17"/>
      <c r="D172" s="3"/>
      <c r="E172" s="106"/>
      <c r="F172" s="95"/>
      <c r="G172" s="95"/>
      <c r="H172" s="95"/>
      <c r="I172" s="95"/>
      <c r="J172" s="36"/>
      <c r="K172" s="29"/>
      <c r="L172" s="35"/>
      <c r="M172" s="6"/>
      <c r="N172" s="6"/>
      <c r="O172" s="1"/>
      <c r="P172" s="113"/>
      <c r="Q172" s="37">
        <f t="shared" si="11"/>
        <v>0</v>
      </c>
    </row>
    <row r="173" spans="1:17" ht="12.75" customHeight="1" hidden="1">
      <c r="A173" s="246">
        <v>17</v>
      </c>
      <c r="B173" s="22" t="s">
        <v>17</v>
      </c>
      <c r="C173" s="17"/>
      <c r="D173" s="3"/>
      <c r="E173" s="106"/>
      <c r="F173" s="95"/>
      <c r="G173" s="95"/>
      <c r="H173" s="95"/>
      <c r="I173" s="95"/>
      <c r="J173" s="36"/>
      <c r="K173" s="29"/>
      <c r="L173" s="35"/>
      <c r="M173" s="29"/>
      <c r="N173" s="29"/>
      <c r="O173" s="1"/>
      <c r="P173" s="113"/>
      <c r="Q173" s="37">
        <f t="shared" si="11"/>
        <v>0</v>
      </c>
    </row>
    <row r="174" spans="1:17" ht="12.75" customHeight="1" hidden="1">
      <c r="A174" s="246">
        <v>18</v>
      </c>
      <c r="B174" s="22" t="s">
        <v>18</v>
      </c>
      <c r="C174" s="17"/>
      <c r="D174" s="3"/>
      <c r="E174" s="106"/>
      <c r="F174" s="95"/>
      <c r="G174" s="95"/>
      <c r="H174" s="95"/>
      <c r="I174" s="95"/>
      <c r="J174" s="36"/>
      <c r="K174" s="29"/>
      <c r="L174" s="34"/>
      <c r="M174" s="29"/>
      <c r="N174" s="29"/>
      <c r="O174" s="1"/>
      <c r="P174" s="113"/>
      <c r="Q174" s="37">
        <f t="shared" si="11"/>
        <v>0</v>
      </c>
    </row>
    <row r="175" spans="1:17" ht="12.75" customHeight="1" hidden="1">
      <c r="A175" s="246">
        <v>19</v>
      </c>
      <c r="B175" s="22" t="s">
        <v>19</v>
      </c>
      <c r="C175" s="17"/>
      <c r="D175" s="3"/>
      <c r="E175" s="106"/>
      <c r="F175" s="95"/>
      <c r="G175" s="95"/>
      <c r="H175" s="95"/>
      <c r="I175" s="95"/>
      <c r="J175" s="36"/>
      <c r="K175" s="29"/>
      <c r="L175" s="35"/>
      <c r="M175" s="29"/>
      <c r="N175" s="29"/>
      <c r="O175" s="1"/>
      <c r="P175" s="113"/>
      <c r="Q175" s="37">
        <f t="shared" si="11"/>
        <v>0</v>
      </c>
    </row>
    <row r="176" spans="1:17" ht="12.75" customHeight="1" hidden="1">
      <c r="A176" s="246">
        <v>20</v>
      </c>
      <c r="B176" s="22" t="s">
        <v>20</v>
      </c>
      <c r="C176" s="58"/>
      <c r="D176" s="11"/>
      <c r="E176" s="106"/>
      <c r="F176" s="95"/>
      <c r="G176" s="95"/>
      <c r="H176" s="95"/>
      <c r="I176" s="96"/>
      <c r="J176" s="36"/>
      <c r="K176" s="29"/>
      <c r="L176" s="35"/>
      <c r="M176" s="29"/>
      <c r="N176" s="29"/>
      <c r="O176" s="1"/>
      <c r="P176" s="1"/>
      <c r="Q176" s="37">
        <f aca="true" t="shared" si="12" ref="Q176:Q187">SUM(E176:P176)</f>
        <v>0</v>
      </c>
    </row>
    <row r="177" spans="1:17" ht="12.75" customHeight="1" hidden="1">
      <c r="A177" s="246">
        <v>21</v>
      </c>
      <c r="B177" s="22" t="s">
        <v>21</v>
      </c>
      <c r="C177" s="58"/>
      <c r="D177" s="10"/>
      <c r="E177" s="106"/>
      <c r="F177" s="95"/>
      <c r="G177" s="95"/>
      <c r="H177" s="95"/>
      <c r="I177" s="95"/>
      <c r="J177" s="29"/>
      <c r="K177" s="29"/>
      <c r="L177" s="35"/>
      <c r="M177" s="4"/>
      <c r="N177" s="4"/>
      <c r="O177" s="1"/>
      <c r="P177" s="1"/>
      <c r="Q177" s="37">
        <f t="shared" si="12"/>
        <v>0</v>
      </c>
    </row>
    <row r="178" spans="1:17" ht="12.75" customHeight="1" hidden="1">
      <c r="A178" s="246">
        <v>22</v>
      </c>
      <c r="B178" s="22" t="s">
        <v>22</v>
      </c>
      <c r="C178" s="58"/>
      <c r="D178" s="10"/>
      <c r="E178" s="106"/>
      <c r="F178" s="95"/>
      <c r="G178" s="95"/>
      <c r="H178" s="95"/>
      <c r="I178" s="95"/>
      <c r="J178" s="4"/>
      <c r="K178" s="29"/>
      <c r="L178" s="35"/>
      <c r="M178" s="4"/>
      <c r="N178" s="4"/>
      <c r="O178" s="1"/>
      <c r="P178" s="1"/>
      <c r="Q178" s="37">
        <f t="shared" si="12"/>
        <v>0</v>
      </c>
    </row>
    <row r="179" spans="1:17" ht="12.75" customHeight="1" hidden="1">
      <c r="A179" s="246">
        <v>23</v>
      </c>
      <c r="B179" s="22" t="s">
        <v>23</v>
      </c>
      <c r="C179" s="58"/>
      <c r="D179" s="10"/>
      <c r="E179" s="106"/>
      <c r="F179" s="95"/>
      <c r="G179" s="95"/>
      <c r="H179" s="95"/>
      <c r="I179" s="98"/>
      <c r="J179" s="4"/>
      <c r="K179" s="29"/>
      <c r="L179" s="35"/>
      <c r="M179" s="4"/>
      <c r="N179" s="4"/>
      <c r="O179" s="1"/>
      <c r="P179" s="1"/>
      <c r="Q179" s="37">
        <f t="shared" si="12"/>
        <v>0</v>
      </c>
    </row>
    <row r="180" spans="1:17" ht="12.75" customHeight="1" hidden="1">
      <c r="A180" s="246">
        <v>24</v>
      </c>
      <c r="B180" s="22" t="s">
        <v>25</v>
      </c>
      <c r="C180" s="58"/>
      <c r="D180" s="10"/>
      <c r="E180" s="107"/>
      <c r="F180" s="95"/>
      <c r="G180" s="96"/>
      <c r="H180" s="96"/>
      <c r="I180" s="98"/>
      <c r="J180" s="4"/>
      <c r="K180" s="29"/>
      <c r="L180" s="4"/>
      <c r="M180" s="4"/>
      <c r="N180" s="4"/>
      <c r="O180" s="1"/>
      <c r="P180" s="1"/>
      <c r="Q180" s="37">
        <f t="shared" si="12"/>
        <v>0</v>
      </c>
    </row>
    <row r="181" spans="1:17" ht="12.75" customHeight="1" hidden="1">
      <c r="A181" s="246">
        <v>25</v>
      </c>
      <c r="B181" s="22" t="s">
        <v>26</v>
      </c>
      <c r="C181" s="58"/>
      <c r="D181" s="10"/>
      <c r="E181" s="107"/>
      <c r="F181" s="95"/>
      <c r="G181" s="96"/>
      <c r="H181" s="96"/>
      <c r="I181" s="98"/>
      <c r="J181" s="4"/>
      <c r="K181" s="29"/>
      <c r="L181" s="4"/>
      <c r="M181" s="4"/>
      <c r="N181" s="4"/>
      <c r="O181" s="1"/>
      <c r="P181" s="1"/>
      <c r="Q181" s="37">
        <f t="shared" si="12"/>
        <v>0</v>
      </c>
    </row>
    <row r="182" spans="1:17" ht="12.75" customHeight="1" hidden="1">
      <c r="A182" s="246">
        <v>26</v>
      </c>
      <c r="B182" s="22" t="s">
        <v>29</v>
      </c>
      <c r="C182" s="58"/>
      <c r="D182" s="10"/>
      <c r="E182" s="107"/>
      <c r="F182" s="95"/>
      <c r="G182" s="96"/>
      <c r="H182" s="96"/>
      <c r="I182" s="98"/>
      <c r="J182" s="4"/>
      <c r="K182" s="29"/>
      <c r="L182" s="4"/>
      <c r="M182" s="4"/>
      <c r="N182" s="4"/>
      <c r="O182" s="1"/>
      <c r="P182" s="1"/>
      <c r="Q182" s="37">
        <f t="shared" si="12"/>
        <v>0</v>
      </c>
    </row>
    <row r="183" spans="1:17" ht="12.75" customHeight="1" hidden="1">
      <c r="A183" s="246">
        <v>27</v>
      </c>
      <c r="B183" s="22" t="s">
        <v>31</v>
      </c>
      <c r="C183" s="58"/>
      <c r="D183" s="10"/>
      <c r="E183" s="107"/>
      <c r="F183" s="95"/>
      <c r="G183" s="96"/>
      <c r="H183" s="96"/>
      <c r="I183" s="98"/>
      <c r="J183" s="4"/>
      <c r="K183" s="29"/>
      <c r="L183" s="36"/>
      <c r="M183" s="4"/>
      <c r="N183" s="4"/>
      <c r="O183" s="1"/>
      <c r="P183" s="1"/>
      <c r="Q183" s="37">
        <f t="shared" si="12"/>
        <v>0</v>
      </c>
    </row>
    <row r="184" spans="1:17" ht="12.75" customHeight="1" hidden="1">
      <c r="A184" s="246">
        <v>28</v>
      </c>
      <c r="B184" s="22" t="s">
        <v>32</v>
      </c>
      <c r="C184" s="58"/>
      <c r="D184" s="10"/>
      <c r="E184" s="107"/>
      <c r="F184" s="95"/>
      <c r="G184" s="96"/>
      <c r="H184" s="96"/>
      <c r="I184" s="98"/>
      <c r="J184" s="4"/>
      <c r="K184" s="29"/>
      <c r="L184" s="4"/>
      <c r="M184" s="4"/>
      <c r="N184" s="4"/>
      <c r="O184" s="1"/>
      <c r="P184" s="1"/>
      <c r="Q184" s="37">
        <f t="shared" si="12"/>
        <v>0</v>
      </c>
    </row>
    <row r="185" spans="1:17" ht="12.75" customHeight="1" hidden="1">
      <c r="A185" s="246">
        <v>29</v>
      </c>
      <c r="B185" s="23" t="s">
        <v>34</v>
      </c>
      <c r="C185" s="58"/>
      <c r="D185" s="10"/>
      <c r="E185" s="107"/>
      <c r="F185" s="95"/>
      <c r="G185" s="96"/>
      <c r="H185" s="96"/>
      <c r="I185" s="100"/>
      <c r="J185" s="4"/>
      <c r="K185" s="29"/>
      <c r="L185" s="4"/>
      <c r="M185" s="4"/>
      <c r="N185" s="4"/>
      <c r="O185" s="1"/>
      <c r="P185" s="1"/>
      <c r="Q185" s="37">
        <f t="shared" si="12"/>
        <v>0</v>
      </c>
    </row>
    <row r="186" spans="1:17" ht="12.75" customHeight="1" hidden="1">
      <c r="A186" s="246">
        <v>30</v>
      </c>
      <c r="B186" s="22" t="s">
        <v>46</v>
      </c>
      <c r="C186" s="58"/>
      <c r="D186" s="10"/>
      <c r="E186" s="96"/>
      <c r="F186" s="95"/>
      <c r="G186" s="95"/>
      <c r="H186" s="95"/>
      <c r="I186" s="101"/>
      <c r="J186" s="4"/>
      <c r="K186" s="29"/>
      <c r="L186" s="41"/>
      <c r="M186" s="4"/>
      <c r="N186" s="4"/>
      <c r="O186" s="1"/>
      <c r="P186" s="1"/>
      <c r="Q186" s="37">
        <f t="shared" si="12"/>
        <v>0</v>
      </c>
    </row>
    <row r="187" spans="1:17" ht="12.75" customHeight="1" hidden="1" thickBot="1">
      <c r="A187" s="246">
        <v>31</v>
      </c>
      <c r="B187" s="24" t="s">
        <v>38</v>
      </c>
      <c r="C187" s="78"/>
      <c r="D187" s="52"/>
      <c r="E187" s="102"/>
      <c r="F187" s="102"/>
      <c r="G187" s="102"/>
      <c r="H187" s="102"/>
      <c r="I187" s="102"/>
      <c r="J187" s="54"/>
      <c r="K187" s="55"/>
      <c r="L187" s="56"/>
      <c r="M187" s="54"/>
      <c r="N187" s="54"/>
      <c r="O187" s="57"/>
      <c r="P187" s="248"/>
      <c r="Q187" s="37">
        <f t="shared" si="12"/>
        <v>0</v>
      </c>
    </row>
    <row r="188" spans="2:17" ht="12.75" customHeight="1" hidden="1" thickBot="1">
      <c r="B188" s="32" t="s">
        <v>12</v>
      </c>
      <c r="C188" s="115">
        <f>SUM(C176:C187)</f>
        <v>0</v>
      </c>
      <c r="D188" s="115">
        <f>SUM(D176:D187)</f>
        <v>0</v>
      </c>
      <c r="E188" s="126">
        <f>SUM(E157:E186)+E187</f>
        <v>0</v>
      </c>
      <c r="F188" s="176">
        <f>SUM(F157:F186)+F187</f>
        <v>0</v>
      </c>
      <c r="G188" s="176">
        <f>SUM(G157:G186)</f>
        <v>0</v>
      </c>
      <c r="H188" s="176"/>
      <c r="I188" s="176">
        <f>SUM(I157:I186)+I187</f>
        <v>0</v>
      </c>
      <c r="J188" s="176">
        <f aca="true" t="shared" si="13" ref="J188:P188">SUM(J157:J186)</f>
        <v>0</v>
      </c>
      <c r="K188" s="176">
        <f t="shared" si="13"/>
        <v>0</v>
      </c>
      <c r="L188" s="176">
        <f t="shared" si="13"/>
        <v>0</v>
      </c>
      <c r="M188" s="185">
        <f t="shared" si="13"/>
        <v>0</v>
      </c>
      <c r="N188" s="185">
        <f t="shared" si="13"/>
        <v>0</v>
      </c>
      <c r="O188" s="127">
        <f t="shared" si="13"/>
        <v>0</v>
      </c>
      <c r="P188" s="127">
        <f t="shared" si="13"/>
        <v>0</v>
      </c>
      <c r="Q188" s="27">
        <f>SUM(Q157:Q186)+Q187</f>
        <v>0</v>
      </c>
    </row>
    <row r="189" spans="2:17" ht="12.75" customHeight="1" hidden="1" thickBot="1">
      <c r="B189" s="80"/>
      <c r="C189" s="211">
        <v>2110</v>
      </c>
      <c r="D189" s="211">
        <v>2111</v>
      </c>
      <c r="E189" s="207">
        <v>2210</v>
      </c>
      <c r="F189" s="321">
        <v>2230</v>
      </c>
      <c r="G189" s="321">
        <v>2240</v>
      </c>
      <c r="H189" s="321"/>
      <c r="I189" s="321">
        <v>2271</v>
      </c>
      <c r="J189" s="322">
        <v>2272</v>
      </c>
      <c r="K189" s="322">
        <v>2273</v>
      </c>
      <c r="L189" s="321">
        <v>2274</v>
      </c>
      <c r="M189" s="321">
        <v>2275</v>
      </c>
      <c r="N189" s="321">
        <v>2800</v>
      </c>
      <c r="O189" s="121">
        <v>2730</v>
      </c>
      <c r="P189" s="15">
        <v>2282</v>
      </c>
      <c r="Q189" s="27">
        <f>E188+F188+G188+J188+K188+L188+M188+O188+P188+N188+I188</f>
        <v>0</v>
      </c>
    </row>
    <row r="190" spans="2:17" ht="12.75" customHeight="1" hidden="1" thickBot="1">
      <c r="B190" s="63" t="s">
        <v>42</v>
      </c>
      <c r="C190" s="378"/>
      <c r="D190" s="378"/>
      <c r="E190" s="130"/>
      <c r="F190" s="244"/>
      <c r="G190" s="244"/>
      <c r="H190" s="244"/>
      <c r="I190" s="244"/>
      <c r="J190" s="260"/>
      <c r="K190" s="260"/>
      <c r="L190" s="244"/>
      <c r="M190" s="244"/>
      <c r="N190" s="244"/>
      <c r="O190" s="317"/>
      <c r="P190" s="208"/>
      <c r="Q190" s="234">
        <f>E190+F190+G190+I190+J190+K190+L190+M190+O190+P190+N190</f>
        <v>0</v>
      </c>
    </row>
    <row r="191" spans="2:17" ht="12.75" customHeight="1" hidden="1">
      <c r="B191" s="337" t="s">
        <v>12</v>
      </c>
      <c r="C191" s="63"/>
      <c r="D191" s="63"/>
      <c r="E191" s="358">
        <f aca="true" t="shared" si="14" ref="E191:P191">SUM(E190)</f>
        <v>0</v>
      </c>
      <c r="F191" s="410">
        <f t="shared" si="14"/>
        <v>0</v>
      </c>
      <c r="G191" s="410">
        <f t="shared" si="14"/>
        <v>0</v>
      </c>
      <c r="H191" s="410"/>
      <c r="I191" s="410">
        <f t="shared" si="14"/>
        <v>0</v>
      </c>
      <c r="J191" s="410">
        <f t="shared" si="14"/>
        <v>0</v>
      </c>
      <c r="K191" s="410">
        <f t="shared" si="14"/>
        <v>0</v>
      </c>
      <c r="L191" s="410">
        <f t="shared" si="14"/>
        <v>0</v>
      </c>
      <c r="M191" s="410">
        <f t="shared" si="14"/>
        <v>0</v>
      </c>
      <c r="N191" s="410">
        <f t="shared" si="14"/>
        <v>0</v>
      </c>
      <c r="O191" s="358">
        <f t="shared" si="14"/>
        <v>0</v>
      </c>
      <c r="P191" s="358">
        <f t="shared" si="14"/>
        <v>0</v>
      </c>
      <c r="Q191" s="358">
        <f>SUM(E191:P191)</f>
        <v>0</v>
      </c>
    </row>
    <row r="192" spans="2:17" ht="12.75" customHeight="1" hidden="1"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</row>
    <row r="193" spans="2:17" ht="12.75" customHeight="1" hidden="1"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</row>
    <row r="194" spans="2:17" ht="12.75" customHeight="1" hidden="1" thickBot="1">
      <c r="B194" s="436" t="s">
        <v>60</v>
      </c>
      <c r="C194" s="436"/>
      <c r="D194" s="436"/>
      <c r="E194" s="436"/>
      <c r="F194" s="436"/>
      <c r="G194" s="436"/>
      <c r="H194" s="436"/>
      <c r="I194" s="436"/>
      <c r="J194" s="436"/>
      <c r="K194" s="436"/>
      <c r="L194" s="436"/>
      <c r="M194" s="436"/>
      <c r="N194" s="436"/>
      <c r="O194" s="436"/>
      <c r="P194" s="436"/>
      <c r="Q194" s="436"/>
    </row>
    <row r="195" spans="2:17" ht="12.75" customHeight="1" hidden="1" thickBot="1">
      <c r="B195" s="18" t="s">
        <v>36</v>
      </c>
      <c r="C195" s="211">
        <v>2110</v>
      </c>
      <c r="D195" s="211">
        <v>2111</v>
      </c>
      <c r="E195" s="207">
        <v>2210</v>
      </c>
      <c r="F195" s="120">
        <v>2230</v>
      </c>
      <c r="G195" s="120">
        <v>2240</v>
      </c>
      <c r="H195" s="120"/>
      <c r="I195" s="120">
        <v>2271</v>
      </c>
      <c r="J195" s="15">
        <v>2272</v>
      </c>
      <c r="K195" s="15">
        <v>2273</v>
      </c>
      <c r="L195" s="121">
        <v>2274</v>
      </c>
      <c r="M195" s="121">
        <v>2275</v>
      </c>
      <c r="N195" s="121">
        <v>2800</v>
      </c>
      <c r="O195" s="121">
        <v>2730</v>
      </c>
      <c r="P195" s="322">
        <v>2282</v>
      </c>
      <c r="Q195" s="226" t="s">
        <v>35</v>
      </c>
    </row>
    <row r="196" spans="1:17" ht="12.75" customHeight="1" hidden="1">
      <c r="A196" s="245">
        <v>1</v>
      </c>
      <c r="B196" s="21" t="s">
        <v>0</v>
      </c>
      <c r="C196" s="43"/>
      <c r="D196" s="44"/>
      <c r="E196" s="105"/>
      <c r="F196" s="92"/>
      <c r="G196" s="92"/>
      <c r="H196" s="97"/>
      <c r="I196" s="95"/>
      <c r="J196" s="46"/>
      <c r="K196" s="28"/>
      <c r="L196" s="46"/>
      <c r="M196" s="48"/>
      <c r="N196" s="48"/>
      <c r="O196" s="49"/>
      <c r="P196" s="49"/>
      <c r="Q196" s="31">
        <f aca="true" t="shared" si="15" ref="Q196:Q202">SUM(E196:P196)</f>
        <v>0</v>
      </c>
    </row>
    <row r="197" spans="1:17" ht="12.75" customHeight="1" hidden="1">
      <c r="A197" s="245">
        <v>2</v>
      </c>
      <c r="B197" s="22" t="s">
        <v>1</v>
      </c>
      <c r="C197" s="17"/>
      <c r="D197" s="3"/>
      <c r="E197" s="106"/>
      <c r="F197" s="95"/>
      <c r="G197" s="97"/>
      <c r="H197" s="97"/>
      <c r="I197" s="96"/>
      <c r="J197" s="4"/>
      <c r="K197" s="29"/>
      <c r="L197" s="29"/>
      <c r="M197" s="6"/>
      <c r="N197" s="6"/>
      <c r="O197" s="1"/>
      <c r="P197" s="1"/>
      <c r="Q197" s="37">
        <f t="shared" si="15"/>
        <v>0</v>
      </c>
    </row>
    <row r="198" spans="1:17" ht="12.75" customHeight="1" hidden="1">
      <c r="A198" s="245">
        <v>3</v>
      </c>
      <c r="B198" s="22" t="s">
        <v>2</v>
      </c>
      <c r="C198" s="17"/>
      <c r="D198" s="3"/>
      <c r="E198" s="106"/>
      <c r="F198" s="95"/>
      <c r="G198" s="97"/>
      <c r="H198" s="97"/>
      <c r="I198" s="95"/>
      <c r="J198" s="4"/>
      <c r="K198" s="29"/>
      <c r="L198" s="34"/>
      <c r="M198" s="6"/>
      <c r="N198" s="6"/>
      <c r="O198" s="1"/>
      <c r="P198" s="113"/>
      <c r="Q198" s="37">
        <f t="shared" si="15"/>
        <v>0</v>
      </c>
    </row>
    <row r="199" spans="1:17" ht="12.75" customHeight="1" hidden="1">
      <c r="A199" s="245">
        <v>4</v>
      </c>
      <c r="B199" s="22" t="s">
        <v>3</v>
      </c>
      <c r="C199" s="17"/>
      <c r="D199" s="3"/>
      <c r="E199" s="106"/>
      <c r="F199" s="95"/>
      <c r="G199" s="97"/>
      <c r="H199" s="97"/>
      <c r="I199" s="96"/>
      <c r="J199" s="4"/>
      <c r="K199" s="29"/>
      <c r="L199" s="34"/>
      <c r="M199" s="6"/>
      <c r="N199" s="6"/>
      <c r="O199" s="1"/>
      <c r="P199" s="113"/>
      <c r="Q199" s="37">
        <f t="shared" si="15"/>
        <v>0</v>
      </c>
    </row>
    <row r="200" spans="1:17" ht="12.75" customHeight="1" hidden="1">
      <c r="A200" s="245">
        <v>5</v>
      </c>
      <c r="B200" s="22" t="s">
        <v>4</v>
      </c>
      <c r="C200" s="17"/>
      <c r="D200" s="3"/>
      <c r="E200" s="106"/>
      <c r="F200" s="95"/>
      <c r="G200" s="97"/>
      <c r="H200" s="97"/>
      <c r="I200" s="95"/>
      <c r="J200" s="4"/>
      <c r="K200" s="29"/>
      <c r="L200" s="34"/>
      <c r="M200" s="6"/>
      <c r="N200" s="6"/>
      <c r="O200" s="1"/>
      <c r="P200" s="113"/>
      <c r="Q200" s="37">
        <f t="shared" si="15"/>
        <v>0</v>
      </c>
    </row>
    <row r="201" spans="1:17" ht="12.75" customHeight="1" hidden="1">
      <c r="A201" s="245">
        <v>6</v>
      </c>
      <c r="B201" s="22" t="s">
        <v>5</v>
      </c>
      <c r="C201" s="17"/>
      <c r="D201" s="3"/>
      <c r="E201" s="106"/>
      <c r="F201" s="95"/>
      <c r="G201" s="95"/>
      <c r="H201" s="95"/>
      <c r="I201" s="95"/>
      <c r="J201" s="29"/>
      <c r="K201" s="29"/>
      <c r="L201" s="34"/>
      <c r="M201" s="6"/>
      <c r="N201" s="29"/>
      <c r="O201" s="1"/>
      <c r="P201" s="113"/>
      <c r="Q201" s="37">
        <f t="shared" si="15"/>
        <v>0</v>
      </c>
    </row>
    <row r="202" spans="1:17" ht="12.75" customHeight="1" hidden="1">
      <c r="A202" s="245">
        <v>7</v>
      </c>
      <c r="B202" s="22" t="s">
        <v>6</v>
      </c>
      <c r="C202" s="17"/>
      <c r="D202" s="3"/>
      <c r="E202" s="106"/>
      <c r="F202" s="95"/>
      <c r="G202" s="97"/>
      <c r="H202" s="97"/>
      <c r="I202" s="95"/>
      <c r="J202" s="36"/>
      <c r="K202" s="29"/>
      <c r="L202" s="35"/>
      <c r="M202" s="29"/>
      <c r="N202" s="6"/>
      <c r="O202" s="1"/>
      <c r="P202" s="113"/>
      <c r="Q202" s="37">
        <f t="shared" si="15"/>
        <v>0</v>
      </c>
    </row>
    <row r="203" spans="1:17" ht="12.75" customHeight="1" hidden="1">
      <c r="A203" s="245">
        <v>8</v>
      </c>
      <c r="B203" s="22" t="s">
        <v>7</v>
      </c>
      <c r="C203" s="17"/>
      <c r="D203" s="3"/>
      <c r="E203" s="106"/>
      <c r="F203" s="95"/>
      <c r="G203" s="97"/>
      <c r="H203" s="97"/>
      <c r="I203" s="95"/>
      <c r="J203" s="29"/>
      <c r="K203" s="29"/>
      <c r="L203" s="35"/>
      <c r="M203" s="36"/>
      <c r="N203" s="4"/>
      <c r="O203" s="1"/>
      <c r="P203" s="113"/>
      <c r="Q203" s="37">
        <f aca="true" t="shared" si="16" ref="Q203:Q226">SUM(E203:P203)</f>
        <v>0</v>
      </c>
    </row>
    <row r="204" spans="1:17" ht="12.75" customHeight="1" hidden="1">
      <c r="A204" s="245">
        <v>9</v>
      </c>
      <c r="B204" s="22" t="s">
        <v>8</v>
      </c>
      <c r="C204" s="17"/>
      <c r="D204" s="3"/>
      <c r="E204" s="107"/>
      <c r="F204" s="95"/>
      <c r="G204" s="97"/>
      <c r="H204" s="97"/>
      <c r="I204" s="95"/>
      <c r="J204" s="29"/>
      <c r="K204" s="29"/>
      <c r="L204" s="35"/>
      <c r="M204" s="29"/>
      <c r="N204" s="6"/>
      <c r="O204" s="1"/>
      <c r="P204" s="113"/>
      <c r="Q204" s="37">
        <f t="shared" si="16"/>
        <v>0</v>
      </c>
    </row>
    <row r="205" spans="1:17" ht="12.75" customHeight="1" hidden="1">
      <c r="A205" s="245">
        <v>10</v>
      </c>
      <c r="B205" s="22" t="s">
        <v>9</v>
      </c>
      <c r="C205" s="17"/>
      <c r="D205" s="3"/>
      <c r="E205" s="107"/>
      <c r="F205" s="95"/>
      <c r="G205" s="97"/>
      <c r="H205" s="97"/>
      <c r="I205" s="95"/>
      <c r="J205" s="36"/>
      <c r="K205" s="29"/>
      <c r="L205" s="35"/>
      <c r="M205" s="29"/>
      <c r="N205" s="6"/>
      <c r="O205" s="1"/>
      <c r="P205" s="113"/>
      <c r="Q205" s="37">
        <f t="shared" si="16"/>
        <v>0</v>
      </c>
    </row>
    <row r="206" spans="1:17" ht="12.75" customHeight="1" hidden="1">
      <c r="A206" s="245">
        <v>11</v>
      </c>
      <c r="B206" s="22" t="s">
        <v>10</v>
      </c>
      <c r="C206" s="17"/>
      <c r="D206" s="3"/>
      <c r="E206" s="107"/>
      <c r="F206" s="95"/>
      <c r="G206" s="97"/>
      <c r="H206" s="97"/>
      <c r="I206" s="95"/>
      <c r="J206" s="29"/>
      <c r="K206" s="29"/>
      <c r="L206" s="35"/>
      <c r="M206" s="36"/>
      <c r="N206" s="4"/>
      <c r="O206" s="1"/>
      <c r="P206" s="113"/>
      <c r="Q206" s="37">
        <f t="shared" si="16"/>
        <v>0</v>
      </c>
    </row>
    <row r="207" spans="1:17" ht="12.75" customHeight="1" hidden="1">
      <c r="A207" s="245">
        <v>12</v>
      </c>
      <c r="B207" s="22" t="s">
        <v>11</v>
      </c>
      <c r="C207" s="17"/>
      <c r="D207" s="3"/>
      <c r="E207" s="107"/>
      <c r="F207" s="95"/>
      <c r="G207" s="97"/>
      <c r="H207" s="97"/>
      <c r="I207" s="95"/>
      <c r="J207" s="29"/>
      <c r="K207" s="29"/>
      <c r="L207" s="29"/>
      <c r="M207" s="36"/>
      <c r="N207" s="4"/>
      <c r="O207" s="1"/>
      <c r="P207" s="113"/>
      <c r="Q207" s="37">
        <f t="shared" si="16"/>
        <v>0</v>
      </c>
    </row>
    <row r="208" spans="1:17" ht="12.75" customHeight="1" hidden="1">
      <c r="A208" s="245">
        <v>13</v>
      </c>
      <c r="B208" s="22" t="s">
        <v>40</v>
      </c>
      <c r="C208" s="17"/>
      <c r="D208" s="3"/>
      <c r="E208" s="107"/>
      <c r="F208" s="95"/>
      <c r="G208" s="97"/>
      <c r="H208" s="97"/>
      <c r="I208" s="95"/>
      <c r="J208" s="29"/>
      <c r="K208" s="29"/>
      <c r="L208" s="29"/>
      <c r="M208" s="36"/>
      <c r="N208" s="4"/>
      <c r="O208" s="1"/>
      <c r="P208" s="113"/>
      <c r="Q208" s="37">
        <f t="shared" si="16"/>
        <v>0</v>
      </c>
    </row>
    <row r="209" spans="1:17" ht="12.75" customHeight="1" hidden="1">
      <c r="A209" s="245">
        <v>14</v>
      </c>
      <c r="B209" s="22" t="s">
        <v>14</v>
      </c>
      <c r="C209" s="17"/>
      <c r="D209" s="3"/>
      <c r="E209" s="107"/>
      <c r="F209" s="95"/>
      <c r="G209" s="97"/>
      <c r="H209" s="97"/>
      <c r="I209" s="95"/>
      <c r="J209" s="36"/>
      <c r="K209" s="29"/>
      <c r="L209" s="36"/>
      <c r="M209" s="29"/>
      <c r="N209" s="4"/>
      <c r="O209" s="1"/>
      <c r="P209" s="1"/>
      <c r="Q209" s="37">
        <f t="shared" si="16"/>
        <v>0</v>
      </c>
    </row>
    <row r="210" spans="1:17" ht="12.75" customHeight="1" hidden="1">
      <c r="A210" s="245">
        <v>15</v>
      </c>
      <c r="B210" s="22" t="s">
        <v>15</v>
      </c>
      <c r="C210" s="17"/>
      <c r="D210" s="3"/>
      <c r="E210" s="107"/>
      <c r="F210" s="95"/>
      <c r="G210" s="97"/>
      <c r="H210" s="97"/>
      <c r="I210" s="95"/>
      <c r="J210" s="36"/>
      <c r="K210" s="29"/>
      <c r="L210" s="36"/>
      <c r="M210" s="29"/>
      <c r="N210" s="4"/>
      <c r="O210" s="1"/>
      <c r="P210" s="1"/>
      <c r="Q210" s="37">
        <f t="shared" si="16"/>
        <v>0</v>
      </c>
    </row>
    <row r="211" spans="1:17" ht="12.75" customHeight="1" hidden="1">
      <c r="A211" s="245">
        <v>16</v>
      </c>
      <c r="B211" s="22" t="s">
        <v>16</v>
      </c>
      <c r="C211" s="17"/>
      <c r="D211" s="3"/>
      <c r="E211" s="107"/>
      <c r="F211" s="95"/>
      <c r="G211" s="97"/>
      <c r="H211" s="97"/>
      <c r="I211" s="95"/>
      <c r="J211" s="36"/>
      <c r="K211" s="29"/>
      <c r="L211" s="36"/>
      <c r="M211" s="29"/>
      <c r="N211" s="6"/>
      <c r="O211" s="1"/>
      <c r="P211" s="1"/>
      <c r="Q211" s="37">
        <f t="shared" si="16"/>
        <v>0</v>
      </c>
    </row>
    <row r="212" spans="1:17" ht="12.75" customHeight="1" hidden="1">
      <c r="A212" s="245">
        <v>17</v>
      </c>
      <c r="B212" s="22" t="s">
        <v>17</v>
      </c>
      <c r="C212" s="17"/>
      <c r="D212" s="3"/>
      <c r="E212" s="107"/>
      <c r="F212" s="95"/>
      <c r="G212" s="97"/>
      <c r="H212" s="97"/>
      <c r="I212" s="95"/>
      <c r="J212" s="36"/>
      <c r="K212" s="29"/>
      <c r="L212" s="36"/>
      <c r="M212" s="36"/>
      <c r="N212" s="4"/>
      <c r="O212" s="1"/>
      <c r="P212" s="1"/>
      <c r="Q212" s="37">
        <f t="shared" si="16"/>
        <v>0</v>
      </c>
    </row>
    <row r="213" spans="1:17" ht="12.75" customHeight="1" hidden="1">
      <c r="A213" s="245">
        <v>18</v>
      </c>
      <c r="B213" s="22" t="s">
        <v>18</v>
      </c>
      <c r="C213" s="17"/>
      <c r="D213" s="3"/>
      <c r="E213" s="107"/>
      <c r="F213" s="95"/>
      <c r="G213" s="97"/>
      <c r="H213" s="97"/>
      <c r="I213" s="95"/>
      <c r="J213" s="36"/>
      <c r="K213" s="29"/>
      <c r="L213" s="29"/>
      <c r="M213" s="29"/>
      <c r="N213" s="6"/>
      <c r="O213" s="1"/>
      <c r="P213" s="1"/>
      <c r="Q213" s="37">
        <f t="shared" si="16"/>
        <v>0</v>
      </c>
    </row>
    <row r="214" spans="1:17" ht="12.75" customHeight="1" hidden="1">
      <c r="A214" s="245">
        <v>19</v>
      </c>
      <c r="B214" s="22" t="s">
        <v>19</v>
      </c>
      <c r="C214" s="17"/>
      <c r="D214" s="3"/>
      <c r="E214" s="107"/>
      <c r="F214" s="95"/>
      <c r="G214" s="97"/>
      <c r="H214" s="97"/>
      <c r="I214" s="95"/>
      <c r="J214" s="36"/>
      <c r="K214" s="29"/>
      <c r="L214" s="36"/>
      <c r="M214" s="36"/>
      <c r="N214" s="4"/>
      <c r="O214" s="1"/>
      <c r="P214" s="1"/>
      <c r="Q214" s="37">
        <f t="shared" si="16"/>
        <v>0</v>
      </c>
    </row>
    <row r="215" spans="1:17" ht="12.75" customHeight="1" hidden="1">
      <c r="A215" s="245">
        <v>20</v>
      </c>
      <c r="B215" s="22" t="s">
        <v>20</v>
      </c>
      <c r="C215" s="58"/>
      <c r="D215" s="11"/>
      <c r="E215" s="107"/>
      <c r="F215" s="95"/>
      <c r="G215" s="97"/>
      <c r="H215" s="97"/>
      <c r="I215" s="96"/>
      <c r="J215" s="4"/>
      <c r="K215" s="29"/>
      <c r="L215" s="35"/>
      <c r="M215" s="36"/>
      <c r="N215" s="4"/>
      <c r="O215" s="1"/>
      <c r="P215" s="1"/>
      <c r="Q215" s="37">
        <f t="shared" si="16"/>
        <v>0</v>
      </c>
    </row>
    <row r="216" spans="1:17" ht="12.75" customHeight="1" hidden="1">
      <c r="A216" s="245">
        <v>21</v>
      </c>
      <c r="B216" s="22" t="s">
        <v>21</v>
      </c>
      <c r="C216" s="58"/>
      <c r="D216" s="10"/>
      <c r="E216" s="107"/>
      <c r="F216" s="95"/>
      <c r="G216" s="97"/>
      <c r="H216" s="97"/>
      <c r="I216" s="95"/>
      <c r="J216" s="29"/>
      <c r="K216" s="29"/>
      <c r="L216" s="35"/>
      <c r="M216" s="29"/>
      <c r="N216" s="4"/>
      <c r="O216" s="1"/>
      <c r="P216" s="1"/>
      <c r="Q216" s="37">
        <f t="shared" si="16"/>
        <v>0</v>
      </c>
    </row>
    <row r="217" spans="1:17" ht="12.75" customHeight="1" hidden="1">
      <c r="A217" s="245">
        <v>22</v>
      </c>
      <c r="B217" s="22" t="s">
        <v>22</v>
      </c>
      <c r="C217" s="58"/>
      <c r="D217" s="10"/>
      <c r="E217" s="107"/>
      <c r="F217" s="95"/>
      <c r="G217" s="97"/>
      <c r="H217" s="97"/>
      <c r="I217" s="95"/>
      <c r="J217" s="4"/>
      <c r="K217" s="29"/>
      <c r="L217" s="35"/>
      <c r="M217" s="36"/>
      <c r="N217" s="4"/>
      <c r="O217" s="1"/>
      <c r="P217" s="1"/>
      <c r="Q217" s="37">
        <f t="shared" si="16"/>
        <v>0</v>
      </c>
    </row>
    <row r="218" spans="1:17" ht="12.75" customHeight="1" hidden="1">
      <c r="A218" s="245">
        <v>23</v>
      </c>
      <c r="B218" s="22" t="s">
        <v>23</v>
      </c>
      <c r="C218" s="58"/>
      <c r="D218" s="10"/>
      <c r="E218" s="107"/>
      <c r="F218" s="95"/>
      <c r="G218" s="97"/>
      <c r="H218" s="97"/>
      <c r="I218" s="96"/>
      <c r="J218" s="36"/>
      <c r="K218" s="29"/>
      <c r="L218" s="35"/>
      <c r="M218" s="36"/>
      <c r="N218" s="4"/>
      <c r="O218" s="1"/>
      <c r="P218" s="1"/>
      <c r="Q218" s="37">
        <f t="shared" si="16"/>
        <v>0</v>
      </c>
    </row>
    <row r="219" spans="1:17" ht="12.75" customHeight="1" hidden="1">
      <c r="A219" s="245">
        <v>24</v>
      </c>
      <c r="B219" s="22" t="s">
        <v>25</v>
      </c>
      <c r="C219" s="58"/>
      <c r="D219" s="10"/>
      <c r="E219" s="107"/>
      <c r="F219" s="95"/>
      <c r="G219" s="96"/>
      <c r="H219" s="96"/>
      <c r="I219" s="3"/>
      <c r="J219" s="4"/>
      <c r="K219" s="29"/>
      <c r="L219" s="4"/>
      <c r="M219" s="36"/>
      <c r="N219" s="4"/>
      <c r="O219" s="1"/>
      <c r="P219" s="1"/>
      <c r="Q219" s="37">
        <f t="shared" si="16"/>
        <v>0</v>
      </c>
    </row>
    <row r="220" spans="1:17" ht="12.75" customHeight="1" hidden="1">
      <c r="A220" s="245">
        <v>25</v>
      </c>
      <c r="B220" s="22" t="s">
        <v>26</v>
      </c>
      <c r="C220" s="58"/>
      <c r="D220" s="10"/>
      <c r="E220" s="107"/>
      <c r="F220" s="95"/>
      <c r="G220" s="98"/>
      <c r="H220" s="98"/>
      <c r="I220" s="95"/>
      <c r="J220" s="29"/>
      <c r="K220" s="29"/>
      <c r="L220" s="4"/>
      <c r="M220" s="36"/>
      <c r="N220" s="4"/>
      <c r="O220" s="1"/>
      <c r="P220" s="1"/>
      <c r="Q220" s="37">
        <f t="shared" si="16"/>
        <v>0</v>
      </c>
    </row>
    <row r="221" spans="1:17" ht="12.75" customHeight="1" hidden="1">
      <c r="A221" s="245">
        <v>26</v>
      </c>
      <c r="B221" s="22" t="s">
        <v>29</v>
      </c>
      <c r="C221" s="58"/>
      <c r="D221" s="10"/>
      <c r="E221" s="107"/>
      <c r="F221" s="95"/>
      <c r="G221" s="98"/>
      <c r="H221" s="98"/>
      <c r="I221" s="3"/>
      <c r="J221" s="4"/>
      <c r="K221" s="29"/>
      <c r="L221" s="4"/>
      <c r="M221" s="36"/>
      <c r="N221" s="4"/>
      <c r="O221" s="1"/>
      <c r="P221" s="1"/>
      <c r="Q221" s="37">
        <f t="shared" si="16"/>
        <v>0</v>
      </c>
    </row>
    <row r="222" spans="1:17" ht="12.75" customHeight="1" hidden="1">
      <c r="A222" s="245">
        <v>27</v>
      </c>
      <c r="B222" s="22" t="s">
        <v>31</v>
      </c>
      <c r="C222" s="58"/>
      <c r="D222" s="10"/>
      <c r="E222" s="107"/>
      <c r="F222" s="95"/>
      <c r="G222" s="98"/>
      <c r="H222" s="98"/>
      <c r="I222" s="3"/>
      <c r="J222" s="4"/>
      <c r="K222" s="29"/>
      <c r="L222" s="36"/>
      <c r="M222" s="36"/>
      <c r="N222" s="4"/>
      <c r="O222" s="1"/>
      <c r="P222" s="1"/>
      <c r="Q222" s="37">
        <f t="shared" si="16"/>
        <v>0</v>
      </c>
    </row>
    <row r="223" spans="1:17" ht="12.75" customHeight="1" hidden="1">
      <c r="A223" s="245">
        <v>28</v>
      </c>
      <c r="B223" s="22" t="s">
        <v>32</v>
      </c>
      <c r="C223" s="58"/>
      <c r="D223" s="10"/>
      <c r="E223" s="107"/>
      <c r="F223" s="95"/>
      <c r="G223" s="98"/>
      <c r="H223" s="98"/>
      <c r="I223" s="95"/>
      <c r="J223" s="4"/>
      <c r="K223" s="29"/>
      <c r="L223" s="4"/>
      <c r="M223" s="36"/>
      <c r="N223" s="4"/>
      <c r="O223" s="1"/>
      <c r="P223" s="1"/>
      <c r="Q223" s="37">
        <f t="shared" si="16"/>
        <v>0</v>
      </c>
    </row>
    <row r="224" spans="1:17" ht="12.75" customHeight="1" hidden="1">
      <c r="A224" s="245">
        <v>29</v>
      </c>
      <c r="B224" s="23" t="s">
        <v>34</v>
      </c>
      <c r="C224" s="58"/>
      <c r="D224" s="10"/>
      <c r="E224" s="107"/>
      <c r="F224" s="95"/>
      <c r="G224" s="100"/>
      <c r="H224" s="100"/>
      <c r="I224" s="95"/>
      <c r="J224" s="4"/>
      <c r="K224" s="29"/>
      <c r="L224" s="4"/>
      <c r="M224" s="36"/>
      <c r="N224" s="4"/>
      <c r="O224" s="1"/>
      <c r="P224" s="1"/>
      <c r="Q224" s="37">
        <f t="shared" si="16"/>
        <v>0</v>
      </c>
    </row>
    <row r="225" spans="1:17" ht="12.75" customHeight="1" hidden="1">
      <c r="A225" s="245">
        <v>30</v>
      </c>
      <c r="B225" s="22" t="s">
        <v>46</v>
      </c>
      <c r="C225" s="58"/>
      <c r="D225" s="10"/>
      <c r="E225" s="96"/>
      <c r="F225" s="95"/>
      <c r="G225" s="100"/>
      <c r="H225" s="100"/>
      <c r="I225" s="40"/>
      <c r="J225" s="4"/>
      <c r="K225" s="29"/>
      <c r="L225" s="41"/>
      <c r="M225" s="36"/>
      <c r="N225" s="4"/>
      <c r="O225" s="1"/>
      <c r="P225" s="1"/>
      <c r="Q225" s="37">
        <f t="shared" si="16"/>
        <v>0</v>
      </c>
    </row>
    <row r="226" spans="1:17" ht="12.75" customHeight="1" hidden="1" thickBot="1">
      <c r="A226" s="245">
        <v>31</v>
      </c>
      <c r="B226" s="24" t="s">
        <v>38</v>
      </c>
      <c r="C226" s="78"/>
      <c r="D226" s="52"/>
      <c r="E226" s="102"/>
      <c r="F226" s="102"/>
      <c r="G226" s="102"/>
      <c r="H226" s="102"/>
      <c r="I226" s="53"/>
      <c r="J226" s="54"/>
      <c r="K226" s="55"/>
      <c r="L226" s="56"/>
      <c r="M226" s="54"/>
      <c r="N226" s="54"/>
      <c r="O226" s="57"/>
      <c r="P226" s="248"/>
      <c r="Q226" s="37">
        <f t="shared" si="16"/>
        <v>0</v>
      </c>
    </row>
    <row r="227" spans="2:17" ht="12.75" customHeight="1" hidden="1" thickBot="1">
      <c r="B227" s="32" t="s">
        <v>12</v>
      </c>
      <c r="C227" s="115">
        <f>SUM(C215:C226)</f>
        <v>0</v>
      </c>
      <c r="D227" s="115">
        <f>SUM(D215:D226)</f>
        <v>0</v>
      </c>
      <c r="E227" s="126">
        <f>SUM(E196:E225)+E226</f>
        <v>0</v>
      </c>
      <c r="F227" s="116">
        <f>SUM(F196:F225)</f>
        <v>0</v>
      </c>
      <c r="G227" s="116">
        <f>SUM(G196:G225)+G226</f>
        <v>0</v>
      </c>
      <c r="H227" s="116"/>
      <c r="I227" s="116">
        <f aca="true" t="shared" si="17" ref="I227:O227">SUM(I196:I225)</f>
        <v>0</v>
      </c>
      <c r="J227" s="116">
        <f t="shared" si="17"/>
        <v>0</v>
      </c>
      <c r="K227" s="116">
        <f t="shared" si="17"/>
        <v>0</v>
      </c>
      <c r="L227" s="116">
        <f t="shared" si="17"/>
        <v>0</v>
      </c>
      <c r="M227" s="127">
        <f t="shared" si="17"/>
        <v>0</v>
      </c>
      <c r="N227" s="127">
        <f t="shared" si="17"/>
        <v>0</v>
      </c>
      <c r="O227" s="127">
        <f t="shared" si="17"/>
        <v>0</v>
      </c>
      <c r="P227" s="127">
        <f>SUM(P196:P225)+P226</f>
        <v>0</v>
      </c>
      <c r="Q227" s="27">
        <f>SUM(Q196:Q225)+Q226</f>
        <v>0</v>
      </c>
    </row>
    <row r="228" spans="2:17" ht="12.75" customHeight="1" hidden="1" thickBot="1">
      <c r="B228" s="80"/>
      <c r="C228" s="211">
        <v>2110</v>
      </c>
      <c r="D228" s="211">
        <v>2111</v>
      </c>
      <c r="E228" s="207">
        <v>2210</v>
      </c>
      <c r="F228" s="120">
        <v>2230</v>
      </c>
      <c r="G228" s="120">
        <v>2240</v>
      </c>
      <c r="H228" s="120"/>
      <c r="I228" s="120">
        <v>2271</v>
      </c>
      <c r="J228" s="15">
        <v>2272</v>
      </c>
      <c r="K228" s="15">
        <v>2273</v>
      </c>
      <c r="L228" s="121">
        <v>2274</v>
      </c>
      <c r="M228" s="121">
        <v>2275</v>
      </c>
      <c r="N228" s="121">
        <v>2800</v>
      </c>
      <c r="O228" s="121">
        <v>2730</v>
      </c>
      <c r="P228" s="322">
        <v>2282</v>
      </c>
      <c r="Q228" s="27">
        <f>E227+F227+G227+J227+K227+L227+M227+O227+P227+N227</f>
        <v>0</v>
      </c>
    </row>
    <row r="229" spans="2:17" ht="12.75" customHeight="1" hidden="1" thickBot="1">
      <c r="B229" s="63" t="s">
        <v>42</v>
      </c>
      <c r="C229" s="118"/>
      <c r="D229" s="118"/>
      <c r="E229" s="111"/>
      <c r="F229" s="111"/>
      <c r="G229" s="111"/>
      <c r="H229" s="111"/>
      <c r="I229" s="111"/>
      <c r="J229" s="83"/>
      <c r="K229" s="83"/>
      <c r="L229" s="111"/>
      <c r="M229" s="112"/>
      <c r="N229" s="112"/>
      <c r="O229" s="83"/>
      <c r="P229" s="85"/>
      <c r="Q229" s="234">
        <f>E229+F229+G229+I229+J229+K229+L229+M229+O229+P229+N229</f>
        <v>0</v>
      </c>
    </row>
    <row r="230" spans="2:17" ht="12.75" customHeight="1" hidden="1">
      <c r="B230" s="337" t="s">
        <v>12</v>
      </c>
      <c r="C230" s="88"/>
      <c r="D230" s="88"/>
      <c r="E230" s="410">
        <f aca="true" t="shared" si="18" ref="E230:P230">SUM(E229)</f>
        <v>0</v>
      </c>
      <c r="F230" s="410">
        <f t="shared" si="18"/>
        <v>0</v>
      </c>
      <c r="G230" s="410">
        <f t="shared" si="18"/>
        <v>0</v>
      </c>
      <c r="H230" s="410"/>
      <c r="I230" s="410">
        <f t="shared" si="18"/>
        <v>0</v>
      </c>
      <c r="J230" s="410">
        <f t="shared" si="18"/>
        <v>0</v>
      </c>
      <c r="K230" s="410">
        <f>SUM(K229)</f>
        <v>0</v>
      </c>
      <c r="L230" s="410">
        <f t="shared" si="18"/>
        <v>0</v>
      </c>
      <c r="M230" s="410">
        <f t="shared" si="18"/>
        <v>0</v>
      </c>
      <c r="N230" s="410">
        <f t="shared" si="18"/>
        <v>0</v>
      </c>
      <c r="O230" s="410">
        <f t="shared" si="18"/>
        <v>0</v>
      </c>
      <c r="P230" s="410">
        <f t="shared" si="18"/>
        <v>0</v>
      </c>
      <c r="Q230" s="410">
        <f>SUM(E230:P230)</f>
        <v>0</v>
      </c>
    </row>
    <row r="231" spans="2:17" ht="12.75" customHeight="1" hidden="1"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</row>
    <row r="232" spans="2:17" ht="12.75" customHeight="1" hidden="1"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</row>
    <row r="233" spans="2:17" ht="12.75" customHeight="1" hidden="1"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</row>
    <row r="234" spans="2:17" ht="12.75" customHeight="1" hidden="1">
      <c r="B234" s="435"/>
      <c r="C234" s="435"/>
      <c r="D234" s="435"/>
      <c r="E234" s="435"/>
      <c r="F234" s="435"/>
      <c r="G234" s="435"/>
      <c r="H234" s="435"/>
      <c r="I234" s="435"/>
      <c r="J234" s="435"/>
      <c r="K234" s="435"/>
      <c r="L234" s="435"/>
      <c r="M234" s="435"/>
      <c r="N234" s="435"/>
      <c r="O234" s="435"/>
      <c r="P234" s="435"/>
      <c r="Q234" s="435"/>
    </row>
    <row r="235" spans="2:17" ht="12.75" customHeight="1" hidden="1" thickBot="1">
      <c r="B235" s="436" t="s">
        <v>61</v>
      </c>
      <c r="C235" s="436"/>
      <c r="D235" s="436"/>
      <c r="E235" s="436"/>
      <c r="F235" s="436"/>
      <c r="G235" s="436"/>
      <c r="H235" s="436"/>
      <c r="I235" s="436"/>
      <c r="J235" s="436"/>
      <c r="K235" s="436"/>
      <c r="L235" s="436"/>
      <c r="M235" s="436"/>
      <c r="N235" s="436"/>
      <c r="O235" s="436"/>
      <c r="P235" s="436"/>
      <c r="Q235" s="436"/>
    </row>
    <row r="236" spans="2:17" ht="12.75" customHeight="1" hidden="1" thickBot="1">
      <c r="B236" s="25" t="s">
        <v>36</v>
      </c>
      <c r="C236" s="211">
        <v>2110</v>
      </c>
      <c r="D236" s="211">
        <v>2111</v>
      </c>
      <c r="E236" s="207">
        <v>2210</v>
      </c>
      <c r="F236" s="120">
        <v>2230</v>
      </c>
      <c r="G236" s="120">
        <v>2240</v>
      </c>
      <c r="H236" s="120"/>
      <c r="I236" s="120">
        <v>2271</v>
      </c>
      <c r="J236" s="15">
        <v>2272</v>
      </c>
      <c r="K236" s="15">
        <v>2273</v>
      </c>
      <c r="L236" s="121">
        <v>2274</v>
      </c>
      <c r="M236" s="121">
        <v>2275</v>
      </c>
      <c r="N236" s="121">
        <v>2800</v>
      </c>
      <c r="O236" s="121">
        <v>2730</v>
      </c>
      <c r="P236" s="322">
        <v>2282</v>
      </c>
      <c r="Q236" s="226" t="s">
        <v>35</v>
      </c>
    </row>
    <row r="237" spans="1:17" ht="12.75" customHeight="1" hidden="1">
      <c r="A237" s="245">
        <v>1</v>
      </c>
      <c r="B237" s="21" t="s">
        <v>0</v>
      </c>
      <c r="C237" s="43"/>
      <c r="D237" s="262"/>
      <c r="E237" s="263"/>
      <c r="F237" s="264"/>
      <c r="G237" s="265"/>
      <c r="H237" s="251"/>
      <c r="I237" s="279"/>
      <c r="J237" s="266"/>
      <c r="K237" s="267"/>
      <c r="L237" s="266"/>
      <c r="M237" s="267"/>
      <c r="N237" s="267"/>
      <c r="O237" s="268"/>
      <c r="P237" s="268"/>
      <c r="Q237" s="31">
        <f aca="true" t="shared" si="19" ref="Q237:Q242">SUM(E237:P237)</f>
        <v>0</v>
      </c>
    </row>
    <row r="238" spans="1:17" ht="12.75" customHeight="1" hidden="1">
      <c r="A238" s="245">
        <v>2</v>
      </c>
      <c r="B238" s="22" t="s">
        <v>1</v>
      </c>
      <c r="C238" s="17"/>
      <c r="D238" s="270"/>
      <c r="E238" s="255"/>
      <c r="F238" s="271"/>
      <c r="G238" s="251"/>
      <c r="H238" s="251"/>
      <c r="I238" s="270"/>
      <c r="J238" s="272"/>
      <c r="K238" s="273"/>
      <c r="L238" s="274"/>
      <c r="M238" s="275"/>
      <c r="N238" s="275"/>
      <c r="O238" s="276"/>
      <c r="P238" s="276"/>
      <c r="Q238" s="37">
        <f t="shared" si="19"/>
        <v>0</v>
      </c>
    </row>
    <row r="239" spans="1:17" ht="12.75" customHeight="1" hidden="1">
      <c r="A239" s="245">
        <v>3</v>
      </c>
      <c r="B239" s="22" t="s">
        <v>2</v>
      </c>
      <c r="C239" s="17"/>
      <c r="D239" s="270"/>
      <c r="E239" s="255"/>
      <c r="F239" s="271"/>
      <c r="G239" s="251"/>
      <c r="H239" s="251"/>
      <c r="I239" s="270"/>
      <c r="J239" s="272"/>
      <c r="K239" s="273"/>
      <c r="L239" s="274"/>
      <c r="M239" s="275"/>
      <c r="N239" s="275"/>
      <c r="O239" s="276"/>
      <c r="P239" s="276"/>
      <c r="Q239" s="37">
        <f t="shared" si="19"/>
        <v>0</v>
      </c>
    </row>
    <row r="240" spans="1:17" ht="12.75" customHeight="1" hidden="1">
      <c r="A240" s="245">
        <v>4</v>
      </c>
      <c r="B240" s="22" t="s">
        <v>3</v>
      </c>
      <c r="C240" s="17"/>
      <c r="D240" s="270"/>
      <c r="E240" s="255"/>
      <c r="F240" s="271"/>
      <c r="G240" s="251"/>
      <c r="H240" s="251"/>
      <c r="I240" s="270"/>
      <c r="J240" s="272"/>
      <c r="K240" s="273"/>
      <c r="L240" s="274"/>
      <c r="M240" s="275"/>
      <c r="N240" s="275"/>
      <c r="O240" s="276"/>
      <c r="P240" s="278"/>
      <c r="Q240" s="37">
        <f t="shared" si="19"/>
        <v>0</v>
      </c>
    </row>
    <row r="241" spans="1:17" ht="12.75" customHeight="1" hidden="1">
      <c r="A241" s="245">
        <v>5</v>
      </c>
      <c r="B241" s="22" t="s">
        <v>4</v>
      </c>
      <c r="C241" s="17"/>
      <c r="D241" s="270"/>
      <c r="E241" s="255"/>
      <c r="F241" s="271"/>
      <c r="G241" s="251"/>
      <c r="H241" s="251"/>
      <c r="I241" s="270"/>
      <c r="J241" s="272"/>
      <c r="K241" s="273"/>
      <c r="L241" s="274"/>
      <c r="M241" s="275"/>
      <c r="N241" s="275"/>
      <c r="O241" s="276"/>
      <c r="P241" s="278"/>
      <c r="Q241" s="37">
        <f t="shared" si="19"/>
        <v>0</v>
      </c>
    </row>
    <row r="242" spans="1:17" ht="12.75" customHeight="1" hidden="1">
      <c r="A242" s="245">
        <v>6</v>
      </c>
      <c r="B242" s="22" t="s">
        <v>5</v>
      </c>
      <c r="C242" s="17"/>
      <c r="D242" s="270"/>
      <c r="E242" s="255"/>
      <c r="F242" s="271"/>
      <c r="G242" s="279"/>
      <c r="H242" s="279"/>
      <c r="I242" s="279"/>
      <c r="J242" s="273"/>
      <c r="K242" s="273"/>
      <c r="L242" s="274"/>
      <c r="M242" s="275"/>
      <c r="N242" s="273"/>
      <c r="O242" s="276"/>
      <c r="P242" s="278"/>
      <c r="Q242" s="37">
        <f t="shared" si="19"/>
        <v>0</v>
      </c>
    </row>
    <row r="243" spans="1:17" ht="12.75" customHeight="1" hidden="1">
      <c r="A243" s="245">
        <v>7</v>
      </c>
      <c r="B243" s="22" t="s">
        <v>6</v>
      </c>
      <c r="C243" s="17"/>
      <c r="D243" s="270"/>
      <c r="E243" s="255"/>
      <c r="F243" s="271"/>
      <c r="G243" s="251"/>
      <c r="H243" s="251"/>
      <c r="I243" s="279"/>
      <c r="J243" s="282"/>
      <c r="K243" s="273"/>
      <c r="L243" s="283"/>
      <c r="M243" s="273"/>
      <c r="N243" s="273"/>
      <c r="O243" s="276"/>
      <c r="P243" s="276"/>
      <c r="Q243" s="37">
        <f aca="true" t="shared" si="20" ref="Q243:Q267">SUM(E243:P243)</f>
        <v>0</v>
      </c>
    </row>
    <row r="244" spans="1:17" ht="12.75" customHeight="1" hidden="1">
      <c r="A244" s="245">
        <v>8</v>
      </c>
      <c r="B244" s="22" t="s">
        <v>7</v>
      </c>
      <c r="C244" s="17"/>
      <c r="D244" s="270"/>
      <c r="E244" s="255"/>
      <c r="F244" s="271"/>
      <c r="G244" s="251"/>
      <c r="H244" s="251"/>
      <c r="I244" s="279"/>
      <c r="J244" s="282"/>
      <c r="K244" s="273"/>
      <c r="L244" s="283"/>
      <c r="M244" s="273"/>
      <c r="N244" s="273"/>
      <c r="O244" s="276"/>
      <c r="P244" s="276"/>
      <c r="Q244" s="37">
        <f t="shared" si="20"/>
        <v>0</v>
      </c>
    </row>
    <row r="245" spans="1:17" ht="12.75" customHeight="1" hidden="1">
      <c r="A245" s="245">
        <v>9</v>
      </c>
      <c r="B245" s="22" t="s">
        <v>8</v>
      </c>
      <c r="C245" s="17"/>
      <c r="D245" s="270"/>
      <c r="E245" s="255"/>
      <c r="F245" s="271"/>
      <c r="G245" s="251"/>
      <c r="H245" s="251"/>
      <c r="I245" s="279"/>
      <c r="J245" s="282"/>
      <c r="K245" s="273"/>
      <c r="L245" s="283"/>
      <c r="M245" s="273"/>
      <c r="N245" s="273"/>
      <c r="O245" s="276"/>
      <c r="P245" s="276"/>
      <c r="Q245" s="37">
        <f t="shared" si="20"/>
        <v>0</v>
      </c>
    </row>
    <row r="246" spans="1:17" ht="12.75" customHeight="1" hidden="1">
      <c r="A246" s="245">
        <v>10</v>
      </c>
      <c r="B246" s="22" t="s">
        <v>9</v>
      </c>
      <c r="C246" s="17"/>
      <c r="D246" s="270"/>
      <c r="E246" s="255"/>
      <c r="F246" s="271"/>
      <c r="G246" s="251"/>
      <c r="H246" s="251"/>
      <c r="I246" s="279"/>
      <c r="J246" s="282"/>
      <c r="K246" s="273"/>
      <c r="L246" s="283"/>
      <c r="M246" s="273"/>
      <c r="N246" s="273"/>
      <c r="O246" s="276"/>
      <c r="P246" s="278"/>
      <c r="Q246" s="37">
        <f t="shared" si="20"/>
        <v>0</v>
      </c>
    </row>
    <row r="247" spans="1:17" ht="12.75" customHeight="1" hidden="1">
      <c r="A247" s="245">
        <v>11</v>
      </c>
      <c r="B247" s="22" t="s">
        <v>10</v>
      </c>
      <c r="C247" s="17"/>
      <c r="D247" s="270"/>
      <c r="E247" s="255"/>
      <c r="F247" s="271"/>
      <c r="G247" s="251"/>
      <c r="H247" s="251"/>
      <c r="I247" s="279"/>
      <c r="J247" s="273"/>
      <c r="K247" s="273"/>
      <c r="L247" s="283"/>
      <c r="M247" s="273"/>
      <c r="N247" s="273"/>
      <c r="O247" s="276"/>
      <c r="P247" s="278"/>
      <c r="Q247" s="37">
        <f t="shared" si="20"/>
        <v>0</v>
      </c>
    </row>
    <row r="248" spans="1:17" ht="12.75" customHeight="1" hidden="1">
      <c r="A248" s="245">
        <v>12</v>
      </c>
      <c r="B248" s="22" t="s">
        <v>11</v>
      </c>
      <c r="C248" s="17"/>
      <c r="D248" s="270"/>
      <c r="E248" s="255"/>
      <c r="F248" s="271"/>
      <c r="G248" s="251"/>
      <c r="H248" s="251"/>
      <c r="I248" s="279"/>
      <c r="J248" s="282"/>
      <c r="K248" s="273"/>
      <c r="L248" s="274"/>
      <c r="M248" s="273"/>
      <c r="N248" s="273"/>
      <c r="O248" s="276"/>
      <c r="P248" s="278"/>
      <c r="Q248" s="37">
        <f t="shared" si="20"/>
        <v>0</v>
      </c>
    </row>
    <row r="249" spans="1:17" ht="12.75" customHeight="1" hidden="1">
      <c r="A249" s="245">
        <v>13</v>
      </c>
      <c r="B249" s="22" t="s">
        <v>13</v>
      </c>
      <c r="C249" s="17"/>
      <c r="D249" s="270"/>
      <c r="E249" s="255"/>
      <c r="F249" s="271"/>
      <c r="G249" s="251"/>
      <c r="H249" s="251"/>
      <c r="I249" s="279"/>
      <c r="J249" s="282"/>
      <c r="K249" s="273"/>
      <c r="L249" s="283"/>
      <c r="M249" s="273"/>
      <c r="N249" s="273"/>
      <c r="O249" s="276"/>
      <c r="P249" s="276"/>
      <c r="Q249" s="37">
        <f t="shared" si="20"/>
        <v>0</v>
      </c>
    </row>
    <row r="250" spans="1:17" ht="12.75" customHeight="1" hidden="1">
      <c r="A250" s="245">
        <v>14</v>
      </c>
      <c r="B250" s="22" t="s">
        <v>14</v>
      </c>
      <c r="C250" s="17"/>
      <c r="D250" s="270"/>
      <c r="E250" s="255"/>
      <c r="F250" s="271"/>
      <c r="G250" s="251"/>
      <c r="H250" s="251"/>
      <c r="I250" s="279"/>
      <c r="J250" s="282"/>
      <c r="K250" s="273"/>
      <c r="L250" s="283"/>
      <c r="M250" s="273"/>
      <c r="N250" s="273"/>
      <c r="O250" s="276"/>
      <c r="P250" s="276"/>
      <c r="Q250" s="37">
        <f t="shared" si="20"/>
        <v>0</v>
      </c>
    </row>
    <row r="251" spans="1:17" ht="12.75" customHeight="1" hidden="1">
      <c r="A251" s="245">
        <v>15</v>
      </c>
      <c r="B251" s="22" t="s">
        <v>15</v>
      </c>
      <c r="C251" s="17"/>
      <c r="D251" s="270"/>
      <c r="E251" s="255"/>
      <c r="F251" s="271"/>
      <c r="G251" s="251"/>
      <c r="H251" s="251"/>
      <c r="I251" s="279"/>
      <c r="J251" s="282"/>
      <c r="K251" s="273"/>
      <c r="L251" s="283"/>
      <c r="M251" s="273"/>
      <c r="N251" s="273"/>
      <c r="O251" s="276"/>
      <c r="P251" s="276"/>
      <c r="Q251" s="37">
        <f t="shared" si="20"/>
        <v>0</v>
      </c>
    </row>
    <row r="252" spans="1:17" ht="12.75" customHeight="1" hidden="1">
      <c r="A252" s="245">
        <v>16</v>
      </c>
      <c r="B252" s="22" t="s">
        <v>16</v>
      </c>
      <c r="C252" s="17"/>
      <c r="D252" s="270"/>
      <c r="E252" s="255"/>
      <c r="F252" s="271"/>
      <c r="G252" s="251"/>
      <c r="H252" s="251"/>
      <c r="I252" s="279"/>
      <c r="J252" s="282"/>
      <c r="K252" s="273"/>
      <c r="L252" s="283"/>
      <c r="M252" s="273"/>
      <c r="N252" s="273"/>
      <c r="O252" s="276"/>
      <c r="P252" s="276"/>
      <c r="Q252" s="37">
        <f t="shared" si="20"/>
        <v>0</v>
      </c>
    </row>
    <row r="253" spans="1:17" ht="12.75" customHeight="1" hidden="1">
      <c r="A253" s="245">
        <v>17</v>
      </c>
      <c r="B253" s="22" t="s">
        <v>17</v>
      </c>
      <c r="C253" s="17"/>
      <c r="D253" s="270"/>
      <c r="E253" s="255"/>
      <c r="F253" s="271"/>
      <c r="G253" s="251"/>
      <c r="H253" s="251"/>
      <c r="I253" s="279"/>
      <c r="J253" s="282"/>
      <c r="K253" s="273"/>
      <c r="L253" s="283"/>
      <c r="M253" s="273"/>
      <c r="N253" s="273"/>
      <c r="O253" s="276"/>
      <c r="P253" s="276"/>
      <c r="Q253" s="37">
        <f t="shared" si="20"/>
        <v>0</v>
      </c>
    </row>
    <row r="254" spans="1:17" ht="12.75" customHeight="1" hidden="1">
      <c r="A254" s="245">
        <v>18</v>
      </c>
      <c r="B254" s="22" t="s">
        <v>18</v>
      </c>
      <c r="C254" s="17"/>
      <c r="D254" s="270"/>
      <c r="E254" s="255"/>
      <c r="F254" s="271"/>
      <c r="G254" s="251"/>
      <c r="H254" s="251"/>
      <c r="I254" s="279"/>
      <c r="J254" s="273"/>
      <c r="K254" s="273"/>
      <c r="L254" s="274"/>
      <c r="M254" s="273"/>
      <c r="N254" s="273"/>
      <c r="O254" s="276"/>
      <c r="P254" s="276"/>
      <c r="Q254" s="37">
        <f t="shared" si="20"/>
        <v>0</v>
      </c>
    </row>
    <row r="255" spans="1:17" ht="12.75" customHeight="1" hidden="1">
      <c r="A255" s="245">
        <v>19</v>
      </c>
      <c r="B255" s="22" t="s">
        <v>19</v>
      </c>
      <c r="C255" s="17"/>
      <c r="D255" s="270"/>
      <c r="E255" s="255"/>
      <c r="F255" s="271"/>
      <c r="G255" s="251"/>
      <c r="H255" s="251"/>
      <c r="I255" s="279"/>
      <c r="J255" s="282"/>
      <c r="K255" s="273"/>
      <c r="L255" s="283"/>
      <c r="M255" s="273"/>
      <c r="N255" s="273"/>
      <c r="O255" s="276"/>
      <c r="P255" s="276"/>
      <c r="Q255" s="37">
        <f t="shared" si="20"/>
        <v>0</v>
      </c>
    </row>
    <row r="256" spans="1:17" ht="12.75" customHeight="1" hidden="1">
      <c r="A256" s="245">
        <v>20</v>
      </c>
      <c r="B256" s="22" t="s">
        <v>20</v>
      </c>
      <c r="C256" s="58"/>
      <c r="D256" s="271"/>
      <c r="E256" s="255"/>
      <c r="F256" s="271"/>
      <c r="G256" s="251"/>
      <c r="H256" s="251"/>
      <c r="I256" s="279"/>
      <c r="J256" s="272"/>
      <c r="K256" s="273"/>
      <c r="L256" s="283"/>
      <c r="M256" s="273"/>
      <c r="N256" s="273"/>
      <c r="O256" s="276"/>
      <c r="P256" s="276"/>
      <c r="Q256" s="37">
        <f t="shared" si="20"/>
        <v>0</v>
      </c>
    </row>
    <row r="257" spans="1:17" ht="12.75" customHeight="1" hidden="1">
      <c r="A257" s="245">
        <v>21</v>
      </c>
      <c r="B257" s="22" t="s">
        <v>21</v>
      </c>
      <c r="C257" s="58"/>
      <c r="D257" s="284"/>
      <c r="E257" s="255"/>
      <c r="F257" s="271"/>
      <c r="G257" s="251"/>
      <c r="H257" s="251"/>
      <c r="I257" s="279"/>
      <c r="J257" s="273"/>
      <c r="K257" s="273"/>
      <c r="L257" s="283"/>
      <c r="M257" s="273"/>
      <c r="N257" s="273"/>
      <c r="O257" s="276"/>
      <c r="P257" s="276"/>
      <c r="Q257" s="37">
        <f t="shared" si="20"/>
        <v>0</v>
      </c>
    </row>
    <row r="258" spans="1:17" ht="12.75" customHeight="1" hidden="1">
      <c r="A258" s="245">
        <v>22</v>
      </c>
      <c r="B258" s="22" t="s">
        <v>22</v>
      </c>
      <c r="C258" s="58"/>
      <c r="D258" s="284"/>
      <c r="E258" s="255"/>
      <c r="F258" s="271"/>
      <c r="G258" s="251"/>
      <c r="H258" s="251"/>
      <c r="I258" s="279"/>
      <c r="J258" s="272"/>
      <c r="K258" s="273"/>
      <c r="L258" s="283"/>
      <c r="M258" s="273"/>
      <c r="N258" s="273"/>
      <c r="O258" s="276"/>
      <c r="P258" s="276"/>
      <c r="Q258" s="37">
        <f t="shared" si="20"/>
        <v>0</v>
      </c>
    </row>
    <row r="259" spans="1:17" ht="12.75" customHeight="1" hidden="1">
      <c r="A259" s="245">
        <v>23</v>
      </c>
      <c r="B259" s="22" t="s">
        <v>23</v>
      </c>
      <c r="C259" s="58"/>
      <c r="D259" s="284"/>
      <c r="E259" s="255"/>
      <c r="F259" s="271"/>
      <c r="G259" s="251"/>
      <c r="H259" s="251"/>
      <c r="I259" s="279"/>
      <c r="J259" s="272"/>
      <c r="K259" s="273"/>
      <c r="L259" s="283"/>
      <c r="M259" s="273"/>
      <c r="N259" s="273"/>
      <c r="O259" s="276"/>
      <c r="P259" s="276"/>
      <c r="Q259" s="37">
        <f t="shared" si="20"/>
        <v>0</v>
      </c>
    </row>
    <row r="260" spans="1:17" ht="12.75" customHeight="1" hidden="1">
      <c r="A260" s="245">
        <v>24</v>
      </c>
      <c r="B260" s="22" t="s">
        <v>25</v>
      </c>
      <c r="C260" s="58"/>
      <c r="D260" s="284"/>
      <c r="E260" s="255"/>
      <c r="F260" s="271"/>
      <c r="G260" s="285"/>
      <c r="H260" s="285"/>
      <c r="I260" s="270"/>
      <c r="J260" s="272"/>
      <c r="K260" s="273"/>
      <c r="L260" s="272"/>
      <c r="M260" s="273"/>
      <c r="N260" s="273"/>
      <c r="O260" s="276"/>
      <c r="P260" s="276"/>
      <c r="Q260" s="37">
        <f t="shared" si="20"/>
        <v>0</v>
      </c>
    </row>
    <row r="261" spans="1:17" ht="12.75" customHeight="1" hidden="1">
      <c r="A261" s="245">
        <v>25</v>
      </c>
      <c r="B261" s="22" t="s">
        <v>26</v>
      </c>
      <c r="C261" s="58"/>
      <c r="D261" s="284"/>
      <c r="E261" s="255"/>
      <c r="F261" s="271"/>
      <c r="G261" s="286"/>
      <c r="H261" s="286"/>
      <c r="I261" s="270"/>
      <c r="J261" s="272"/>
      <c r="K261" s="273"/>
      <c r="L261" s="272"/>
      <c r="M261" s="273"/>
      <c r="N261" s="273"/>
      <c r="O261" s="276"/>
      <c r="P261" s="276"/>
      <c r="Q261" s="37">
        <f t="shared" si="20"/>
        <v>0</v>
      </c>
    </row>
    <row r="262" spans="1:17" ht="12.75" customHeight="1" hidden="1">
      <c r="A262" s="245">
        <v>26</v>
      </c>
      <c r="B262" s="22" t="s">
        <v>29</v>
      </c>
      <c r="C262" s="58"/>
      <c r="D262" s="284"/>
      <c r="E262" s="255"/>
      <c r="F262" s="271"/>
      <c r="G262" s="286"/>
      <c r="H262" s="286"/>
      <c r="I262" s="270"/>
      <c r="J262" s="272"/>
      <c r="K262" s="273"/>
      <c r="L262" s="272"/>
      <c r="M262" s="273"/>
      <c r="N262" s="273"/>
      <c r="O262" s="276"/>
      <c r="P262" s="276"/>
      <c r="Q262" s="37">
        <f t="shared" si="20"/>
        <v>0</v>
      </c>
    </row>
    <row r="263" spans="1:17" ht="12.75" customHeight="1" hidden="1">
      <c r="A263" s="245">
        <v>27</v>
      </c>
      <c r="B263" s="22" t="s">
        <v>31</v>
      </c>
      <c r="C263" s="58"/>
      <c r="D263" s="284"/>
      <c r="E263" s="255"/>
      <c r="F263" s="271"/>
      <c r="G263" s="251"/>
      <c r="H263" s="251"/>
      <c r="I263" s="270"/>
      <c r="J263" s="272"/>
      <c r="K263" s="273"/>
      <c r="L263" s="282"/>
      <c r="M263" s="273"/>
      <c r="N263" s="273"/>
      <c r="O263" s="276"/>
      <c r="P263" s="276"/>
      <c r="Q263" s="37">
        <f t="shared" si="20"/>
        <v>0</v>
      </c>
    </row>
    <row r="264" spans="1:17" ht="12.75" customHeight="1" hidden="1">
      <c r="A264" s="245">
        <v>28</v>
      </c>
      <c r="B264" s="22" t="s">
        <v>32</v>
      </c>
      <c r="C264" s="58"/>
      <c r="D264" s="284"/>
      <c r="E264" s="255"/>
      <c r="F264" s="271"/>
      <c r="G264" s="270"/>
      <c r="H264" s="270"/>
      <c r="I264" s="270"/>
      <c r="J264" s="272"/>
      <c r="K264" s="273"/>
      <c r="L264" s="272"/>
      <c r="M264" s="273"/>
      <c r="N264" s="273"/>
      <c r="O264" s="276"/>
      <c r="P264" s="276"/>
      <c r="Q264" s="37">
        <f t="shared" si="20"/>
        <v>0</v>
      </c>
    </row>
    <row r="265" spans="1:17" ht="12.75" customHeight="1" hidden="1">
      <c r="A265" s="245">
        <v>29</v>
      </c>
      <c r="B265" s="23" t="s">
        <v>34</v>
      </c>
      <c r="C265" s="58"/>
      <c r="D265" s="284"/>
      <c r="E265" s="255"/>
      <c r="F265" s="271"/>
      <c r="G265" s="287"/>
      <c r="H265" s="287"/>
      <c r="I265" s="287"/>
      <c r="J265" s="272"/>
      <c r="K265" s="273"/>
      <c r="L265" s="272"/>
      <c r="M265" s="273"/>
      <c r="N265" s="273"/>
      <c r="O265" s="276"/>
      <c r="P265" s="276"/>
      <c r="Q265" s="37">
        <f t="shared" si="20"/>
        <v>0</v>
      </c>
    </row>
    <row r="266" spans="1:17" ht="12.75" customHeight="1" hidden="1">
      <c r="A266" s="245">
        <v>30</v>
      </c>
      <c r="B266" s="22" t="s">
        <v>46</v>
      </c>
      <c r="C266" s="58"/>
      <c r="D266" s="284"/>
      <c r="E266" s="285"/>
      <c r="F266" s="271"/>
      <c r="G266" s="287"/>
      <c r="H266" s="287"/>
      <c r="I266" s="288"/>
      <c r="J266" s="272"/>
      <c r="K266" s="273"/>
      <c r="L266" s="288"/>
      <c r="M266" s="273"/>
      <c r="N266" s="273"/>
      <c r="O266" s="276"/>
      <c r="P266" s="276"/>
      <c r="Q266" s="37">
        <f t="shared" si="20"/>
        <v>0</v>
      </c>
    </row>
    <row r="267" spans="1:17" ht="12.75" customHeight="1" hidden="1" thickBot="1">
      <c r="A267" s="245">
        <v>31</v>
      </c>
      <c r="B267" s="24" t="s">
        <v>38</v>
      </c>
      <c r="C267" s="78"/>
      <c r="D267" s="289"/>
      <c r="E267" s="290"/>
      <c r="F267" s="292"/>
      <c r="G267" s="273"/>
      <c r="H267" s="417"/>
      <c r="I267" s="293"/>
      <c r="J267" s="294"/>
      <c r="K267" s="295"/>
      <c r="L267" s="293"/>
      <c r="M267" s="294"/>
      <c r="N267" s="294"/>
      <c r="O267" s="296"/>
      <c r="P267" s="296"/>
      <c r="Q267" s="37">
        <f t="shared" si="20"/>
        <v>0</v>
      </c>
    </row>
    <row r="268" spans="2:17" ht="12.75" customHeight="1" hidden="1" thickBot="1">
      <c r="B268" s="32" t="s">
        <v>12</v>
      </c>
      <c r="C268" s="115">
        <f>SUM(C256:C267)</f>
        <v>0</v>
      </c>
      <c r="D268" s="115">
        <f>SUM(D256:D267)</f>
        <v>0</v>
      </c>
      <c r="E268" s="298">
        <f>SUM(E237:E266)+E267</f>
        <v>0</v>
      </c>
      <c r="F268" s="176">
        <f>SUM(F237:F266)</f>
        <v>0</v>
      </c>
      <c r="G268" s="176">
        <f>SUM(G237:G266)+G267</f>
        <v>0</v>
      </c>
      <c r="H268" s="176"/>
      <c r="I268" s="176">
        <f>SUM(I237:I266)</f>
        <v>0</v>
      </c>
      <c r="J268" s="176">
        <f>SUM(J237:J266)</f>
        <v>0</v>
      </c>
      <c r="K268" s="176">
        <f>SUM(K237:K266)+K267</f>
        <v>0</v>
      </c>
      <c r="L268" s="176">
        <f>SUM(L237:L266)</f>
        <v>0</v>
      </c>
      <c r="M268" s="185">
        <f>SUM(M237:M266)</f>
        <v>0</v>
      </c>
      <c r="N268" s="185">
        <f>SUM(N237:N267)</f>
        <v>0</v>
      </c>
      <c r="O268" s="185">
        <f>SUM(O237:O266)</f>
        <v>0</v>
      </c>
      <c r="P268" s="185">
        <f>SUM(P237:P266)</f>
        <v>0</v>
      </c>
      <c r="Q268" s="129">
        <f>SUM(Q237:Q266)+Q267</f>
        <v>0</v>
      </c>
    </row>
    <row r="269" spans="2:17" ht="12.75" customHeight="1" hidden="1" thickBot="1">
      <c r="B269" s="80"/>
      <c r="C269" s="122">
        <v>2110</v>
      </c>
      <c r="D269" s="122">
        <v>2111</v>
      </c>
      <c r="E269" s="233">
        <v>2210</v>
      </c>
      <c r="F269" s="181">
        <v>2230</v>
      </c>
      <c r="G269" s="181">
        <v>2240</v>
      </c>
      <c r="H269" s="181"/>
      <c r="I269" s="181">
        <v>2271</v>
      </c>
      <c r="J269" s="182">
        <v>2272</v>
      </c>
      <c r="K269" s="182">
        <v>2273</v>
      </c>
      <c r="L269" s="181">
        <v>2274</v>
      </c>
      <c r="M269" s="181">
        <v>2275</v>
      </c>
      <c r="N269" s="181">
        <v>2800</v>
      </c>
      <c r="O269" s="181">
        <v>2730</v>
      </c>
      <c r="P269" s="182">
        <v>2282</v>
      </c>
      <c r="Q269" s="129">
        <f>E268+F268+G268+J268+K268+L268+M268+O268+P268+N268+I268</f>
        <v>0</v>
      </c>
    </row>
    <row r="270" spans="2:17" ht="12.75" customHeight="1" hidden="1" thickBot="1">
      <c r="B270" s="63"/>
      <c r="C270" s="63"/>
      <c r="D270" s="63"/>
      <c r="E270" s="187"/>
      <c r="F270" s="187"/>
      <c r="G270" s="187"/>
      <c r="H270" s="187"/>
      <c r="I270" s="187"/>
      <c r="J270" s="188"/>
      <c r="K270" s="188"/>
      <c r="L270" s="187"/>
      <c r="M270" s="189"/>
      <c r="N270" s="189"/>
      <c r="O270" s="188"/>
      <c r="P270" s="190"/>
      <c r="Q270" s="234">
        <f>SUM(E270:P270)</f>
        <v>0</v>
      </c>
    </row>
    <row r="271" spans="2:17" ht="12.75" customHeight="1" hidden="1">
      <c r="B271" s="337" t="s">
        <v>12</v>
      </c>
      <c r="C271" s="88"/>
      <c r="D271" s="88"/>
      <c r="E271" s="410">
        <f aca="true" t="shared" si="21" ref="E271:P271">SUM(E270)</f>
        <v>0</v>
      </c>
      <c r="F271" s="410">
        <f t="shared" si="21"/>
        <v>0</v>
      </c>
      <c r="G271" s="410">
        <f t="shared" si="21"/>
        <v>0</v>
      </c>
      <c r="H271" s="410"/>
      <c r="I271" s="410">
        <f t="shared" si="21"/>
        <v>0</v>
      </c>
      <c r="J271" s="410">
        <f t="shared" si="21"/>
        <v>0</v>
      </c>
      <c r="K271" s="410">
        <f>SUM(K270)</f>
        <v>0</v>
      </c>
      <c r="L271" s="410">
        <f t="shared" si="21"/>
        <v>0</v>
      </c>
      <c r="M271" s="410">
        <f t="shared" si="21"/>
        <v>0</v>
      </c>
      <c r="N271" s="410">
        <f t="shared" si="21"/>
        <v>0</v>
      </c>
      <c r="O271" s="410">
        <f t="shared" si="21"/>
        <v>0</v>
      </c>
      <c r="P271" s="410">
        <f t="shared" si="21"/>
        <v>0</v>
      </c>
      <c r="Q271" s="410">
        <f>SUM(E271:P271)</f>
        <v>0</v>
      </c>
    </row>
    <row r="272" spans="2:17" ht="12.75" customHeight="1" hidden="1">
      <c r="B272" s="64"/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</row>
    <row r="273" spans="2:17" ht="12.75" customHeight="1" hidden="1">
      <c r="B273" s="64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</row>
    <row r="274" spans="2:17" ht="12.75" customHeight="1" hidden="1"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</row>
    <row r="275" spans="2:17" ht="12.75" customHeight="1" hidden="1" thickBot="1">
      <c r="B275" s="436" t="s">
        <v>62</v>
      </c>
      <c r="C275" s="436"/>
      <c r="D275" s="436"/>
      <c r="E275" s="436"/>
      <c r="F275" s="436"/>
      <c r="G275" s="436"/>
      <c r="H275" s="436"/>
      <c r="I275" s="436"/>
      <c r="J275" s="436"/>
      <c r="K275" s="436"/>
      <c r="L275" s="436"/>
      <c r="M275" s="436"/>
      <c r="N275" s="436"/>
      <c r="O275" s="436"/>
      <c r="P275" s="436"/>
      <c r="Q275" s="436"/>
    </row>
    <row r="276" spans="2:17" ht="12.75" customHeight="1" hidden="1" thickBot="1">
      <c r="B276" s="18" t="s">
        <v>36</v>
      </c>
      <c r="C276" s="211">
        <v>2110</v>
      </c>
      <c r="D276" s="211">
        <v>2111</v>
      </c>
      <c r="E276" s="207">
        <v>2210</v>
      </c>
      <c r="F276" s="120">
        <v>2230</v>
      </c>
      <c r="G276" s="120">
        <v>2240</v>
      </c>
      <c r="H276" s="120"/>
      <c r="I276" s="120">
        <v>2271</v>
      </c>
      <c r="J276" s="15">
        <v>2272</v>
      </c>
      <c r="K276" s="15">
        <v>2273</v>
      </c>
      <c r="L276" s="121">
        <v>2274</v>
      </c>
      <c r="M276" s="121">
        <v>2275</v>
      </c>
      <c r="N276" s="121">
        <v>2800</v>
      </c>
      <c r="O276" s="121">
        <v>2730</v>
      </c>
      <c r="P276" s="15">
        <v>2282</v>
      </c>
      <c r="Q276" s="226" t="s">
        <v>35</v>
      </c>
    </row>
    <row r="277" spans="1:17" ht="12.75" customHeight="1" hidden="1">
      <c r="A277" s="245">
        <v>1</v>
      </c>
      <c r="B277" s="21" t="s">
        <v>0</v>
      </c>
      <c r="C277" s="43"/>
      <c r="D277" s="44"/>
      <c r="E277" s="105"/>
      <c r="F277" s="92"/>
      <c r="G277" s="92"/>
      <c r="H277" s="92"/>
      <c r="I277" s="94"/>
      <c r="J277" s="46"/>
      <c r="K277" s="28"/>
      <c r="L277" s="46"/>
      <c r="M277" s="28"/>
      <c r="N277" s="28"/>
      <c r="O277" s="132"/>
      <c r="P277" s="132"/>
      <c r="Q277" s="31">
        <f aca="true" t="shared" si="22" ref="Q277:Q307">SUM(C277:P277)</f>
        <v>0</v>
      </c>
    </row>
    <row r="278" spans="1:17" ht="12.75" customHeight="1" hidden="1">
      <c r="A278" s="245">
        <v>2</v>
      </c>
      <c r="B278" s="22" t="s">
        <v>1</v>
      </c>
      <c r="C278" s="17"/>
      <c r="D278" s="3"/>
      <c r="E278" s="106"/>
      <c r="F278" s="95"/>
      <c r="G278" s="97"/>
      <c r="H278" s="97"/>
      <c r="I278" s="152"/>
      <c r="J278" s="4"/>
      <c r="K278" s="29"/>
      <c r="L278" s="34"/>
      <c r="M278" s="29"/>
      <c r="N278" s="29"/>
      <c r="O278" s="133"/>
      <c r="P278" s="133"/>
      <c r="Q278" s="37">
        <f t="shared" si="22"/>
        <v>0</v>
      </c>
    </row>
    <row r="279" spans="1:17" ht="12.75" customHeight="1" hidden="1">
      <c r="A279" s="245">
        <v>3</v>
      </c>
      <c r="B279" s="22" t="s">
        <v>2</v>
      </c>
      <c r="C279" s="17"/>
      <c r="D279" s="3"/>
      <c r="E279" s="106"/>
      <c r="F279" s="95"/>
      <c r="G279" s="97"/>
      <c r="H279" s="97"/>
      <c r="I279" s="95"/>
      <c r="J279" s="4"/>
      <c r="K279" s="29"/>
      <c r="L279" s="34"/>
      <c r="M279" s="29"/>
      <c r="N279" s="29"/>
      <c r="O279" s="133"/>
      <c r="P279" s="133"/>
      <c r="Q279" s="37">
        <f t="shared" si="22"/>
        <v>0</v>
      </c>
    </row>
    <row r="280" spans="1:17" ht="12.75" customHeight="1" hidden="1">
      <c r="A280" s="245">
        <v>4</v>
      </c>
      <c r="B280" s="22" t="s">
        <v>3</v>
      </c>
      <c r="C280" s="17"/>
      <c r="D280" s="3"/>
      <c r="E280" s="106"/>
      <c r="F280" s="95"/>
      <c r="G280" s="97"/>
      <c r="H280" s="97"/>
      <c r="I280" s="98"/>
      <c r="J280" s="4"/>
      <c r="K280" s="29"/>
      <c r="L280" s="34"/>
      <c r="M280" s="29"/>
      <c r="N280" s="29"/>
      <c r="O280" s="133"/>
      <c r="P280" s="133"/>
      <c r="Q280" s="37">
        <f t="shared" si="22"/>
        <v>0</v>
      </c>
    </row>
    <row r="281" spans="1:17" ht="12.75" customHeight="1" hidden="1">
      <c r="A281" s="245">
        <v>5</v>
      </c>
      <c r="B281" s="22" t="s">
        <v>4</v>
      </c>
      <c r="C281" s="17"/>
      <c r="D281" s="3"/>
      <c r="E281" s="106"/>
      <c r="F281" s="95"/>
      <c r="G281" s="97"/>
      <c r="H281" s="97"/>
      <c r="I281" s="99"/>
      <c r="J281" s="4"/>
      <c r="K281" s="29"/>
      <c r="L281" s="34"/>
      <c r="M281" s="29"/>
      <c r="N281" s="29"/>
      <c r="O281" s="133"/>
      <c r="P281" s="133"/>
      <c r="Q281" s="37">
        <f t="shared" si="22"/>
        <v>0</v>
      </c>
    </row>
    <row r="282" spans="1:17" ht="12.75" customHeight="1" hidden="1">
      <c r="A282" s="245">
        <v>6</v>
      </c>
      <c r="B282" s="22" t="s">
        <v>5</v>
      </c>
      <c r="C282" s="17"/>
      <c r="D282" s="3"/>
      <c r="E282" s="106"/>
      <c r="F282" s="95"/>
      <c r="G282" s="95"/>
      <c r="H282" s="95"/>
      <c r="I282" s="99"/>
      <c r="J282" s="29"/>
      <c r="K282" s="29"/>
      <c r="L282" s="34"/>
      <c r="M282" s="29"/>
      <c r="N282" s="29"/>
      <c r="O282" s="133"/>
      <c r="P282" s="133"/>
      <c r="Q282" s="37">
        <f t="shared" si="22"/>
        <v>0</v>
      </c>
    </row>
    <row r="283" spans="1:17" ht="12.75" customHeight="1" hidden="1">
      <c r="A283" s="245">
        <v>7</v>
      </c>
      <c r="B283" s="22" t="s">
        <v>6</v>
      </c>
      <c r="C283" s="17"/>
      <c r="D283" s="3"/>
      <c r="E283" s="106"/>
      <c r="F283" s="95"/>
      <c r="G283" s="97"/>
      <c r="H283" s="97"/>
      <c r="I283" s="98"/>
      <c r="J283" s="36"/>
      <c r="K283" s="29"/>
      <c r="L283" s="35"/>
      <c r="M283" s="29"/>
      <c r="N283" s="29"/>
      <c r="O283" s="133"/>
      <c r="P283" s="133"/>
      <c r="Q283" s="37">
        <f t="shared" si="22"/>
        <v>0</v>
      </c>
    </row>
    <row r="284" spans="1:17" ht="12.75" customHeight="1" hidden="1">
      <c r="A284" s="245">
        <v>8</v>
      </c>
      <c r="B284" s="22" t="s">
        <v>7</v>
      </c>
      <c r="C284" s="17"/>
      <c r="D284" s="3"/>
      <c r="E284" s="106"/>
      <c r="F284" s="95"/>
      <c r="G284" s="97"/>
      <c r="H284" s="97"/>
      <c r="I284" s="98"/>
      <c r="J284" s="29"/>
      <c r="K284" s="29"/>
      <c r="L284" s="35"/>
      <c r="M284" s="36"/>
      <c r="N284" s="36"/>
      <c r="O284" s="133"/>
      <c r="P284" s="133"/>
      <c r="Q284" s="37">
        <f t="shared" si="22"/>
        <v>0</v>
      </c>
    </row>
    <row r="285" spans="1:17" ht="12.75" customHeight="1" hidden="1">
      <c r="A285" s="245">
        <v>9</v>
      </c>
      <c r="B285" s="22" t="s">
        <v>8</v>
      </c>
      <c r="C285" s="17"/>
      <c r="D285" s="3"/>
      <c r="E285" s="107"/>
      <c r="F285" s="95"/>
      <c r="G285" s="97"/>
      <c r="H285" s="97"/>
      <c r="I285" s="98"/>
      <c r="J285" s="29"/>
      <c r="K285" s="29"/>
      <c r="L285" s="35"/>
      <c r="M285" s="39"/>
      <c r="N285" s="39"/>
      <c r="O285" s="133"/>
      <c r="P285" s="133"/>
      <c r="Q285" s="37">
        <f t="shared" si="22"/>
        <v>0</v>
      </c>
    </row>
    <row r="286" spans="1:17" ht="12.75" customHeight="1" hidden="1">
      <c r="A286" s="245">
        <v>10</v>
      </c>
      <c r="B286" s="22" t="s">
        <v>9</v>
      </c>
      <c r="C286" s="17"/>
      <c r="D286" s="3"/>
      <c r="E286" s="107"/>
      <c r="F286" s="95"/>
      <c r="G286" s="97"/>
      <c r="H286" s="97"/>
      <c r="I286" s="98"/>
      <c r="J286" s="36"/>
      <c r="K286" s="29"/>
      <c r="L286" s="35"/>
      <c r="M286" s="39"/>
      <c r="N286" s="39"/>
      <c r="O286" s="133"/>
      <c r="P286" s="133"/>
      <c r="Q286" s="37">
        <f t="shared" si="22"/>
        <v>0</v>
      </c>
    </row>
    <row r="287" spans="1:17" ht="12.75" customHeight="1" hidden="1">
      <c r="A287" s="245">
        <v>11</v>
      </c>
      <c r="B287" s="22" t="s">
        <v>10</v>
      </c>
      <c r="C287" s="17"/>
      <c r="D287" s="3"/>
      <c r="E287" s="107"/>
      <c r="F287" s="95"/>
      <c r="G287" s="97"/>
      <c r="H287" s="97"/>
      <c r="I287" s="98"/>
      <c r="J287" s="29"/>
      <c r="K287" s="29"/>
      <c r="L287" s="35"/>
      <c r="M287" s="29"/>
      <c r="N287" s="39"/>
      <c r="O287" s="133"/>
      <c r="P287" s="133"/>
      <c r="Q287" s="37">
        <f t="shared" si="22"/>
        <v>0</v>
      </c>
    </row>
    <row r="288" spans="1:17" ht="12.75" customHeight="1" hidden="1">
      <c r="A288" s="245">
        <v>12</v>
      </c>
      <c r="B288" s="22" t="s">
        <v>11</v>
      </c>
      <c r="C288" s="17"/>
      <c r="D288" s="3"/>
      <c r="E288" s="107"/>
      <c r="F288" s="95"/>
      <c r="G288" s="97"/>
      <c r="H288" s="97"/>
      <c r="I288" s="98"/>
      <c r="J288" s="36"/>
      <c r="K288" s="29"/>
      <c r="L288" s="34"/>
      <c r="M288" s="327"/>
      <c r="N288" s="327"/>
      <c r="O288" s="133"/>
      <c r="P288" s="133"/>
      <c r="Q288" s="37">
        <f t="shared" si="22"/>
        <v>0</v>
      </c>
    </row>
    <row r="289" spans="1:17" ht="12.75" customHeight="1" hidden="1">
      <c r="A289" s="245">
        <v>13</v>
      </c>
      <c r="B289" s="22" t="s">
        <v>13</v>
      </c>
      <c r="C289" s="17"/>
      <c r="D289" s="3"/>
      <c r="E289" s="107"/>
      <c r="F289" s="95"/>
      <c r="G289" s="97"/>
      <c r="H289" s="97"/>
      <c r="I289" s="98"/>
      <c r="J289" s="36"/>
      <c r="K289" s="29"/>
      <c r="L289" s="35"/>
      <c r="M289" s="327"/>
      <c r="N289" s="327"/>
      <c r="O289" s="133"/>
      <c r="P289" s="133"/>
      <c r="Q289" s="37">
        <f t="shared" si="22"/>
        <v>0</v>
      </c>
    </row>
    <row r="290" spans="1:17" ht="12.75" customHeight="1" hidden="1">
      <c r="A290" s="245">
        <v>14</v>
      </c>
      <c r="B290" s="22" t="s">
        <v>14</v>
      </c>
      <c r="C290" s="17"/>
      <c r="D290" s="3"/>
      <c r="E290" s="107"/>
      <c r="F290" s="95"/>
      <c r="G290" s="97"/>
      <c r="H290" s="97"/>
      <c r="I290" s="98"/>
      <c r="J290" s="36"/>
      <c r="K290" s="29"/>
      <c r="L290" s="35"/>
      <c r="M290" s="327"/>
      <c r="N290" s="327"/>
      <c r="O290" s="133"/>
      <c r="P290" s="133"/>
      <c r="Q290" s="37">
        <f t="shared" si="22"/>
        <v>0</v>
      </c>
    </row>
    <row r="291" spans="1:17" ht="12.75" customHeight="1" hidden="1">
      <c r="A291" s="245">
        <v>15</v>
      </c>
      <c r="B291" s="22" t="s">
        <v>15</v>
      </c>
      <c r="C291" s="17"/>
      <c r="D291" s="3"/>
      <c r="E291" s="107"/>
      <c r="F291" s="95"/>
      <c r="G291" s="97"/>
      <c r="H291" s="97"/>
      <c r="I291" s="98"/>
      <c r="J291" s="36"/>
      <c r="K291" s="29"/>
      <c r="L291" s="35"/>
      <c r="M291" s="29"/>
      <c r="N291" s="29"/>
      <c r="O291" s="133"/>
      <c r="P291" s="133"/>
      <c r="Q291" s="37">
        <f t="shared" si="22"/>
        <v>0</v>
      </c>
    </row>
    <row r="292" spans="1:17" ht="12.75" customHeight="1" hidden="1">
      <c r="A292" s="245">
        <v>16</v>
      </c>
      <c r="B292" s="22" t="s">
        <v>16</v>
      </c>
      <c r="C292" s="17"/>
      <c r="D292" s="3"/>
      <c r="E292" s="107"/>
      <c r="F292" s="95"/>
      <c r="G292" s="97"/>
      <c r="H292" s="97"/>
      <c r="I292" s="98"/>
      <c r="J292" s="36"/>
      <c r="K292" s="29"/>
      <c r="L292" s="35"/>
      <c r="M292" s="39"/>
      <c r="N292" s="39"/>
      <c r="O292" s="133"/>
      <c r="P292" s="133"/>
      <c r="Q292" s="37">
        <f t="shared" si="22"/>
        <v>0</v>
      </c>
    </row>
    <row r="293" spans="1:17" ht="12.75" customHeight="1" hidden="1">
      <c r="A293" s="245">
        <v>17</v>
      </c>
      <c r="B293" s="22" t="s">
        <v>17</v>
      </c>
      <c r="C293" s="17"/>
      <c r="D293" s="3"/>
      <c r="E293" s="107"/>
      <c r="F293" s="95"/>
      <c r="G293" s="97"/>
      <c r="H293" s="97"/>
      <c r="I293" s="99"/>
      <c r="J293" s="36"/>
      <c r="K293" s="29"/>
      <c r="L293" s="35"/>
      <c r="M293" s="327"/>
      <c r="N293" s="327"/>
      <c r="O293" s="133"/>
      <c r="P293" s="133"/>
      <c r="Q293" s="37">
        <f t="shared" si="22"/>
        <v>0</v>
      </c>
    </row>
    <row r="294" spans="1:17" ht="12.75" customHeight="1" hidden="1">
      <c r="A294" s="245">
        <v>18</v>
      </c>
      <c r="B294" s="22" t="s">
        <v>18</v>
      </c>
      <c r="C294" s="17"/>
      <c r="D294" s="3"/>
      <c r="E294" s="107"/>
      <c r="F294" s="95"/>
      <c r="G294" s="97"/>
      <c r="H294" s="97"/>
      <c r="I294" s="99"/>
      <c r="J294" s="36"/>
      <c r="K294" s="29"/>
      <c r="L294" s="34"/>
      <c r="M294" s="39"/>
      <c r="N294" s="39"/>
      <c r="O294" s="133"/>
      <c r="P294" s="133"/>
      <c r="Q294" s="37">
        <f t="shared" si="22"/>
        <v>0</v>
      </c>
    </row>
    <row r="295" spans="1:17" ht="12.75" customHeight="1" hidden="1">
      <c r="A295" s="245">
        <v>19</v>
      </c>
      <c r="B295" s="22" t="s">
        <v>19</v>
      </c>
      <c r="C295" s="17"/>
      <c r="D295" s="3"/>
      <c r="E295" s="107"/>
      <c r="F295" s="95"/>
      <c r="G295" s="97"/>
      <c r="H295" s="97"/>
      <c r="I295" s="99"/>
      <c r="J295" s="36"/>
      <c r="K295" s="29"/>
      <c r="L295" s="35"/>
      <c r="M295" s="327"/>
      <c r="N295" s="327"/>
      <c r="O295" s="133"/>
      <c r="P295" s="133"/>
      <c r="Q295" s="37">
        <f t="shared" si="22"/>
        <v>0</v>
      </c>
    </row>
    <row r="296" spans="1:17" ht="12.75" customHeight="1" hidden="1">
      <c r="A296" s="245">
        <v>20</v>
      </c>
      <c r="B296" s="22" t="s">
        <v>20</v>
      </c>
      <c r="C296" s="58"/>
      <c r="D296" s="11"/>
      <c r="E296" s="107"/>
      <c r="F296" s="95"/>
      <c r="G296" s="97"/>
      <c r="H296" s="97"/>
      <c r="I296" s="98"/>
      <c r="J296" s="36"/>
      <c r="K296" s="29"/>
      <c r="L296" s="35"/>
      <c r="M296" s="29"/>
      <c r="N296" s="29"/>
      <c r="O296" s="133"/>
      <c r="P296" s="133"/>
      <c r="Q296" s="37">
        <f t="shared" si="22"/>
        <v>0</v>
      </c>
    </row>
    <row r="297" spans="1:17" ht="12.75" customHeight="1" hidden="1">
      <c r="A297" s="245">
        <v>21</v>
      </c>
      <c r="B297" s="22" t="s">
        <v>21</v>
      </c>
      <c r="C297" s="58"/>
      <c r="D297" s="10"/>
      <c r="E297" s="107"/>
      <c r="F297" s="95"/>
      <c r="G297" s="97"/>
      <c r="H297" s="97"/>
      <c r="I297" s="99"/>
      <c r="J297" s="36"/>
      <c r="K297" s="29"/>
      <c r="L297" s="35"/>
      <c r="M297" s="327"/>
      <c r="N297" s="327"/>
      <c r="O297" s="133"/>
      <c r="P297" s="133"/>
      <c r="Q297" s="37">
        <f t="shared" si="22"/>
        <v>0</v>
      </c>
    </row>
    <row r="298" spans="1:17" ht="12.75" customHeight="1" hidden="1">
      <c r="A298" s="245">
        <v>22</v>
      </c>
      <c r="B298" s="22" t="s">
        <v>22</v>
      </c>
      <c r="C298" s="58"/>
      <c r="D298" s="10"/>
      <c r="E298" s="107"/>
      <c r="F298" s="95"/>
      <c r="G298" s="97"/>
      <c r="H298" s="97"/>
      <c r="I298" s="99"/>
      <c r="J298" s="36"/>
      <c r="K298" s="29"/>
      <c r="L298" s="35"/>
      <c r="M298" s="29"/>
      <c r="N298" s="327"/>
      <c r="O298" s="133"/>
      <c r="P298" s="133"/>
      <c r="Q298" s="37">
        <f t="shared" si="22"/>
        <v>0</v>
      </c>
    </row>
    <row r="299" spans="1:17" ht="12.75" customHeight="1" hidden="1">
      <c r="A299" s="245">
        <v>23</v>
      </c>
      <c r="B299" s="22" t="s">
        <v>23</v>
      </c>
      <c r="C299" s="58"/>
      <c r="D299" s="10"/>
      <c r="E299" s="107"/>
      <c r="F299" s="95"/>
      <c r="G299" s="97"/>
      <c r="H299" s="97"/>
      <c r="I299" s="98"/>
      <c r="J299" s="4"/>
      <c r="K299" s="29"/>
      <c r="L299" s="35"/>
      <c r="M299" s="327"/>
      <c r="N299" s="327"/>
      <c r="O299" s="133"/>
      <c r="P299" s="133"/>
      <c r="Q299" s="37">
        <f t="shared" si="22"/>
        <v>0</v>
      </c>
    </row>
    <row r="300" spans="1:17" ht="12.75" customHeight="1" hidden="1">
      <c r="A300" s="245">
        <v>24</v>
      </c>
      <c r="B300" s="22" t="s">
        <v>25</v>
      </c>
      <c r="C300" s="58"/>
      <c r="D300" s="10"/>
      <c r="E300" s="107"/>
      <c r="F300" s="95"/>
      <c r="G300" s="96"/>
      <c r="H300" s="96"/>
      <c r="I300" s="98"/>
      <c r="J300" s="4"/>
      <c r="K300" s="29"/>
      <c r="L300" s="4"/>
      <c r="M300" s="36"/>
      <c r="N300" s="36"/>
      <c r="O300" s="133"/>
      <c r="P300" s="133"/>
      <c r="Q300" s="37">
        <f t="shared" si="22"/>
        <v>0</v>
      </c>
    </row>
    <row r="301" spans="1:17" ht="12.75" customHeight="1" hidden="1">
      <c r="A301" s="245">
        <v>25</v>
      </c>
      <c r="B301" s="22" t="s">
        <v>26</v>
      </c>
      <c r="C301" s="58"/>
      <c r="D301" s="10"/>
      <c r="E301" s="107"/>
      <c r="F301" s="95"/>
      <c r="G301" s="96"/>
      <c r="H301" s="96"/>
      <c r="I301" s="98"/>
      <c r="J301" s="4"/>
      <c r="K301" s="29"/>
      <c r="L301" s="4"/>
      <c r="M301" s="327"/>
      <c r="N301" s="327"/>
      <c r="O301" s="133"/>
      <c r="P301" s="133"/>
      <c r="Q301" s="37">
        <f t="shared" si="22"/>
        <v>0</v>
      </c>
    </row>
    <row r="302" spans="1:17" ht="12.75" customHeight="1" hidden="1">
      <c r="A302" s="245">
        <v>26</v>
      </c>
      <c r="B302" s="22" t="s">
        <v>29</v>
      </c>
      <c r="C302" s="58"/>
      <c r="D302" s="10"/>
      <c r="E302" s="107"/>
      <c r="F302" s="95"/>
      <c r="G302" s="96"/>
      <c r="H302" s="96"/>
      <c r="I302" s="98"/>
      <c r="J302" s="4"/>
      <c r="K302" s="29"/>
      <c r="L302" s="4"/>
      <c r="M302" s="327"/>
      <c r="N302" s="327"/>
      <c r="O302" s="133"/>
      <c r="P302" s="133"/>
      <c r="Q302" s="37">
        <f t="shared" si="22"/>
        <v>0</v>
      </c>
    </row>
    <row r="303" spans="1:17" ht="12.75" customHeight="1" hidden="1">
      <c r="A303" s="245">
        <v>27</v>
      </c>
      <c r="B303" s="22" t="s">
        <v>31</v>
      </c>
      <c r="C303" s="58"/>
      <c r="D303" s="10"/>
      <c r="E303" s="107"/>
      <c r="F303" s="95"/>
      <c r="G303" s="96"/>
      <c r="H303" s="96"/>
      <c r="I303" s="98"/>
      <c r="J303" s="4"/>
      <c r="K303" s="29"/>
      <c r="L303" s="36"/>
      <c r="M303" s="36"/>
      <c r="N303" s="36"/>
      <c r="O303" s="133"/>
      <c r="P303" s="133"/>
      <c r="Q303" s="37">
        <f t="shared" si="22"/>
        <v>0</v>
      </c>
    </row>
    <row r="304" spans="1:17" ht="12.75" customHeight="1" hidden="1">
      <c r="A304" s="245">
        <v>28</v>
      </c>
      <c r="B304" s="22" t="s">
        <v>32</v>
      </c>
      <c r="C304" s="58"/>
      <c r="D304" s="10"/>
      <c r="E304" s="107"/>
      <c r="F304" s="95"/>
      <c r="G304" s="96"/>
      <c r="H304" s="96"/>
      <c r="I304" s="98"/>
      <c r="J304" s="4"/>
      <c r="K304" s="29"/>
      <c r="L304" s="4"/>
      <c r="M304" s="4"/>
      <c r="N304" s="4"/>
      <c r="O304" s="133"/>
      <c r="P304" s="133"/>
      <c r="Q304" s="37">
        <f t="shared" si="22"/>
        <v>0</v>
      </c>
    </row>
    <row r="305" spans="1:17" ht="12.75" customHeight="1" hidden="1">
      <c r="A305" s="245">
        <v>29</v>
      </c>
      <c r="B305" s="23" t="s">
        <v>34</v>
      </c>
      <c r="C305" s="58"/>
      <c r="D305" s="10"/>
      <c r="E305" s="107"/>
      <c r="F305" s="95"/>
      <c r="G305" s="96"/>
      <c r="H305" s="96"/>
      <c r="I305" s="100"/>
      <c r="J305" s="4"/>
      <c r="K305" s="29"/>
      <c r="L305" s="4"/>
      <c r="M305" s="4"/>
      <c r="N305" s="4"/>
      <c r="O305" s="133"/>
      <c r="P305" s="133"/>
      <c r="Q305" s="37">
        <f t="shared" si="22"/>
        <v>0</v>
      </c>
    </row>
    <row r="306" spans="1:17" ht="12.75" customHeight="1" hidden="1">
      <c r="A306" s="245">
        <v>30</v>
      </c>
      <c r="B306" s="22" t="s">
        <v>46</v>
      </c>
      <c r="C306" s="58"/>
      <c r="D306" s="10"/>
      <c r="E306" s="96"/>
      <c r="F306" s="95"/>
      <c r="G306" s="96"/>
      <c r="H306" s="96"/>
      <c r="I306" s="101"/>
      <c r="J306" s="4"/>
      <c r="K306" s="29"/>
      <c r="L306" s="109"/>
      <c r="M306" s="4"/>
      <c r="N306" s="4"/>
      <c r="O306" s="133"/>
      <c r="P306" s="133"/>
      <c r="Q306" s="37">
        <f t="shared" si="22"/>
        <v>0</v>
      </c>
    </row>
    <row r="307" spans="1:17" ht="12.75" customHeight="1" hidden="1" thickBot="1">
      <c r="A307" s="245">
        <v>31</v>
      </c>
      <c r="B307" s="24" t="s">
        <v>38</v>
      </c>
      <c r="C307" s="78"/>
      <c r="D307" s="52"/>
      <c r="E307" s="102"/>
      <c r="F307" s="102"/>
      <c r="G307" s="108"/>
      <c r="H307" s="108"/>
      <c r="I307" s="104"/>
      <c r="J307" s="54"/>
      <c r="K307" s="55"/>
      <c r="L307" s="110"/>
      <c r="M307" s="54"/>
      <c r="N307" s="54"/>
      <c r="O307" s="134"/>
      <c r="P307" s="134"/>
      <c r="Q307" s="37">
        <f t="shared" si="22"/>
        <v>0</v>
      </c>
    </row>
    <row r="308" spans="2:17" ht="12.75" customHeight="1" hidden="1" thickBot="1">
      <c r="B308" s="32" t="s">
        <v>12</v>
      </c>
      <c r="C308" s="60">
        <f>SUM(C296:C307)</f>
        <v>0</v>
      </c>
      <c r="D308" s="60">
        <f>SUM(D296:D307)</f>
        <v>0</v>
      </c>
      <c r="E308" s="240">
        <f>SUM(E277:E306)+E307</f>
        <v>0</v>
      </c>
      <c r="F308" s="241">
        <f aca="true" t="shared" si="23" ref="F308:P308">SUM(F277:F306)</f>
        <v>0</v>
      </c>
      <c r="G308" s="241">
        <f>SUM(G277:G307)</f>
        <v>0</v>
      </c>
      <c r="H308" s="241"/>
      <c r="I308" s="241">
        <f t="shared" si="23"/>
        <v>0</v>
      </c>
      <c r="J308" s="241">
        <f t="shared" si="23"/>
        <v>0</v>
      </c>
      <c r="K308" s="241">
        <f t="shared" si="23"/>
        <v>0</v>
      </c>
      <c r="L308" s="241">
        <f t="shared" si="23"/>
        <v>0</v>
      </c>
      <c r="M308" s="258">
        <f t="shared" si="23"/>
        <v>0</v>
      </c>
      <c r="N308" s="258">
        <f t="shared" si="23"/>
        <v>0</v>
      </c>
      <c r="O308" s="258">
        <f t="shared" si="23"/>
        <v>0</v>
      </c>
      <c r="P308" s="258">
        <f t="shared" si="23"/>
        <v>0</v>
      </c>
      <c r="Q308" s="27">
        <f>SUM(Q277:Q306)+Q307</f>
        <v>0</v>
      </c>
    </row>
    <row r="309" spans="2:17" ht="12.75" customHeight="1" hidden="1" thickBot="1">
      <c r="B309" s="80"/>
      <c r="C309" s="211">
        <v>2110</v>
      </c>
      <c r="D309" s="211">
        <v>2111</v>
      </c>
      <c r="E309" s="233">
        <v>2210</v>
      </c>
      <c r="F309" s="181">
        <v>2230</v>
      </c>
      <c r="G309" s="181">
        <v>2240</v>
      </c>
      <c r="H309" s="181"/>
      <c r="I309" s="181">
        <v>2271</v>
      </c>
      <c r="J309" s="182">
        <v>2272</v>
      </c>
      <c r="K309" s="182">
        <v>2273</v>
      </c>
      <c r="L309" s="181">
        <v>2274</v>
      </c>
      <c r="M309" s="181">
        <v>2275</v>
      </c>
      <c r="N309" s="181">
        <v>2800</v>
      </c>
      <c r="O309" s="121">
        <v>2730</v>
      </c>
      <c r="P309" s="15">
        <v>2282</v>
      </c>
      <c r="Q309" s="27">
        <f>E308+F308+G308+J308+K308+L308+M308+O308+P308+I308+N308</f>
        <v>0</v>
      </c>
    </row>
    <row r="310" spans="2:17" ht="12.75" customHeight="1" hidden="1">
      <c r="B310" s="63"/>
      <c r="C310" s="63"/>
      <c r="D310" s="63"/>
      <c r="E310" s="189"/>
      <c r="F310" s="189"/>
      <c r="G310" s="189"/>
      <c r="H310" s="189"/>
      <c r="I310" s="189"/>
      <c r="J310" s="299"/>
      <c r="K310" s="299"/>
      <c r="L310" s="189"/>
      <c r="M310" s="189"/>
      <c r="N310" s="189"/>
      <c r="O310" s="299"/>
      <c r="P310" s="300"/>
      <c r="Q310" s="184">
        <f>SUM(E310:P310)</f>
        <v>0</v>
      </c>
    </row>
    <row r="311" spans="2:17" ht="12.75" customHeight="1" hidden="1">
      <c r="B311" s="337" t="s">
        <v>12</v>
      </c>
      <c r="C311" s="88"/>
      <c r="D311" s="88"/>
      <c r="E311" s="410">
        <f aca="true" t="shared" si="24" ref="E311:P311">SUM(E310)</f>
        <v>0</v>
      </c>
      <c r="F311" s="410">
        <f t="shared" si="24"/>
        <v>0</v>
      </c>
      <c r="G311" s="410">
        <f t="shared" si="24"/>
        <v>0</v>
      </c>
      <c r="H311" s="410"/>
      <c r="I311" s="410">
        <f t="shared" si="24"/>
        <v>0</v>
      </c>
      <c r="J311" s="410">
        <f t="shared" si="24"/>
        <v>0</v>
      </c>
      <c r="K311" s="410">
        <f>SUM(K310)</f>
        <v>0</v>
      </c>
      <c r="L311" s="410">
        <f t="shared" si="24"/>
        <v>0</v>
      </c>
      <c r="M311" s="410">
        <f t="shared" si="24"/>
        <v>0</v>
      </c>
      <c r="N311" s="410">
        <f t="shared" si="24"/>
        <v>0</v>
      </c>
      <c r="O311" s="410">
        <f t="shared" si="24"/>
        <v>0</v>
      </c>
      <c r="P311" s="410">
        <f t="shared" si="24"/>
        <v>0</v>
      </c>
      <c r="Q311" s="410">
        <f>SUM(E311:P311)</f>
        <v>0</v>
      </c>
    </row>
    <row r="312" spans="2:17" ht="12.75" customHeight="1" hidden="1">
      <c r="B312" s="64"/>
      <c r="C312" s="64"/>
      <c r="D312" s="64"/>
      <c r="E312" s="64"/>
      <c r="F312" s="64"/>
      <c r="G312" s="64"/>
      <c r="H312" s="64"/>
      <c r="I312" s="64"/>
      <c r="J312" s="64"/>
      <c r="K312" s="64"/>
      <c r="L312" s="64"/>
      <c r="M312" s="64"/>
      <c r="N312" s="64"/>
      <c r="O312" s="64"/>
      <c r="P312" s="64"/>
      <c r="Q312" s="64"/>
    </row>
    <row r="313" spans="2:17" ht="12.75" customHeight="1" hidden="1">
      <c r="B313" s="64"/>
      <c r="C313" s="64"/>
      <c r="D313" s="64"/>
      <c r="E313" s="64"/>
      <c r="F313" s="64"/>
      <c r="G313" s="64"/>
      <c r="H313" s="64"/>
      <c r="I313" s="64"/>
      <c r="J313" s="64"/>
      <c r="K313" s="64"/>
      <c r="L313" s="64"/>
      <c r="M313" s="64"/>
      <c r="N313" s="64"/>
      <c r="O313" s="64"/>
      <c r="P313" s="64"/>
      <c r="Q313" s="64"/>
    </row>
    <row r="314" spans="2:17" ht="12.75" customHeight="1" hidden="1">
      <c r="B314" s="64"/>
      <c r="C314" s="64"/>
      <c r="D314" s="64"/>
      <c r="E314" s="64"/>
      <c r="F314" s="64"/>
      <c r="G314" s="64"/>
      <c r="H314" s="64"/>
      <c r="I314" s="64"/>
      <c r="J314" s="64"/>
      <c r="K314" s="64"/>
      <c r="L314" s="64"/>
      <c r="M314" s="64"/>
      <c r="N314" s="64"/>
      <c r="O314" s="64"/>
      <c r="P314" s="64"/>
      <c r="Q314" s="64"/>
    </row>
    <row r="315" spans="2:17" ht="12.75" customHeight="1" hidden="1" thickBot="1">
      <c r="B315" s="436" t="s">
        <v>63</v>
      </c>
      <c r="C315" s="436"/>
      <c r="D315" s="436"/>
      <c r="E315" s="436"/>
      <c r="F315" s="436"/>
      <c r="G315" s="436"/>
      <c r="H315" s="436"/>
      <c r="I315" s="436"/>
      <c r="J315" s="436"/>
      <c r="K315" s="436"/>
      <c r="L315" s="436"/>
      <c r="M315" s="436"/>
      <c r="N315" s="436"/>
      <c r="O315" s="436"/>
      <c r="P315" s="436"/>
      <c r="Q315" s="436"/>
    </row>
    <row r="316" spans="2:17" ht="12.75" customHeight="1" hidden="1" thickBot="1">
      <c r="B316" s="25" t="s">
        <v>36</v>
      </c>
      <c r="C316" s="211">
        <v>2110</v>
      </c>
      <c r="D316" s="211">
        <v>2111</v>
      </c>
      <c r="E316" s="207">
        <v>2210</v>
      </c>
      <c r="F316" s="120">
        <v>2230</v>
      </c>
      <c r="G316" s="120">
        <v>2240</v>
      </c>
      <c r="H316" s="120"/>
      <c r="I316" s="120">
        <v>2271</v>
      </c>
      <c r="J316" s="15">
        <v>2272</v>
      </c>
      <c r="K316" s="15">
        <v>2273</v>
      </c>
      <c r="L316" s="379">
        <v>2274</v>
      </c>
      <c r="M316" s="411">
        <v>2275</v>
      </c>
      <c r="N316" s="380">
        <v>2800</v>
      </c>
      <c r="O316" s="121">
        <v>2730</v>
      </c>
      <c r="P316" s="15">
        <v>2282</v>
      </c>
      <c r="Q316" s="226" t="s">
        <v>35</v>
      </c>
    </row>
    <row r="317" spans="1:17" ht="12.75" customHeight="1" hidden="1">
      <c r="A317" s="245">
        <v>1</v>
      </c>
      <c r="B317" s="21" t="s">
        <v>0</v>
      </c>
      <c r="C317" s="43"/>
      <c r="D317" s="262"/>
      <c r="E317" s="263"/>
      <c r="F317" s="265"/>
      <c r="G317" s="265"/>
      <c r="H317" s="265"/>
      <c r="I317" s="302"/>
      <c r="J317" s="303"/>
      <c r="K317" s="267"/>
      <c r="L317" s="266"/>
      <c r="M317" s="267"/>
      <c r="N317" s="267"/>
      <c r="O317" s="412"/>
      <c r="P317" s="412"/>
      <c r="Q317" s="31">
        <f aca="true" t="shared" si="25" ref="Q317:Q322">SUM(E317:P317)</f>
        <v>0</v>
      </c>
    </row>
    <row r="318" spans="1:17" ht="12.75" customHeight="1" hidden="1">
      <c r="A318" s="245">
        <v>2</v>
      </c>
      <c r="B318" s="22" t="s">
        <v>1</v>
      </c>
      <c r="C318" s="17"/>
      <c r="D318" s="270"/>
      <c r="E318" s="255"/>
      <c r="F318" s="279"/>
      <c r="G318" s="251"/>
      <c r="H318" s="251"/>
      <c r="I318" s="285"/>
      <c r="J318" s="282"/>
      <c r="K318" s="273"/>
      <c r="L318" s="274"/>
      <c r="M318" s="273"/>
      <c r="N318" s="273"/>
      <c r="O318" s="413"/>
      <c r="P318" s="413"/>
      <c r="Q318" s="37">
        <f t="shared" si="25"/>
        <v>0</v>
      </c>
    </row>
    <row r="319" spans="1:17" ht="12.75" customHeight="1" hidden="1">
      <c r="A319" s="245">
        <v>3</v>
      </c>
      <c r="B319" s="22" t="s">
        <v>2</v>
      </c>
      <c r="C319" s="17"/>
      <c r="D319" s="270"/>
      <c r="E319" s="255"/>
      <c r="F319" s="279"/>
      <c r="G319" s="251"/>
      <c r="H319" s="251"/>
      <c r="I319" s="279"/>
      <c r="J319" s="282"/>
      <c r="K319" s="273"/>
      <c r="L319" s="274"/>
      <c r="M319" s="273"/>
      <c r="N319" s="273"/>
      <c r="O319" s="413"/>
      <c r="P319" s="413"/>
      <c r="Q319" s="37">
        <f t="shared" si="25"/>
        <v>0</v>
      </c>
    </row>
    <row r="320" spans="1:17" ht="12.75" customHeight="1" hidden="1">
      <c r="A320" s="245">
        <v>4</v>
      </c>
      <c r="B320" s="22" t="s">
        <v>3</v>
      </c>
      <c r="C320" s="17"/>
      <c r="D320" s="270"/>
      <c r="E320" s="255"/>
      <c r="F320" s="279"/>
      <c r="G320" s="251"/>
      <c r="H320" s="251"/>
      <c r="I320" s="285"/>
      <c r="J320" s="282"/>
      <c r="K320" s="273"/>
      <c r="L320" s="274"/>
      <c r="M320" s="273"/>
      <c r="N320" s="273"/>
      <c r="O320" s="413"/>
      <c r="P320" s="413"/>
      <c r="Q320" s="37">
        <f t="shared" si="25"/>
        <v>0</v>
      </c>
    </row>
    <row r="321" spans="1:17" ht="12.75" customHeight="1" hidden="1">
      <c r="A321" s="245">
        <v>5</v>
      </c>
      <c r="B321" s="22" t="s">
        <v>4</v>
      </c>
      <c r="C321" s="17"/>
      <c r="D321" s="270"/>
      <c r="E321" s="255"/>
      <c r="F321" s="279"/>
      <c r="G321" s="251"/>
      <c r="H321" s="251"/>
      <c r="I321" s="279"/>
      <c r="J321" s="282"/>
      <c r="K321" s="273"/>
      <c r="L321" s="274"/>
      <c r="M321" s="273"/>
      <c r="N321" s="273"/>
      <c r="O321" s="413"/>
      <c r="P321" s="413"/>
      <c r="Q321" s="37">
        <f t="shared" si="25"/>
        <v>0</v>
      </c>
    </row>
    <row r="322" spans="1:17" ht="12.75" customHeight="1" hidden="1">
      <c r="A322" s="245">
        <v>6</v>
      </c>
      <c r="B322" s="22" t="s">
        <v>5</v>
      </c>
      <c r="C322" s="17"/>
      <c r="D322" s="270"/>
      <c r="E322" s="255"/>
      <c r="F322" s="279"/>
      <c r="G322" s="279"/>
      <c r="H322" s="279"/>
      <c r="I322" s="279"/>
      <c r="J322" s="273"/>
      <c r="K322" s="273"/>
      <c r="L322" s="274"/>
      <c r="M322" s="275"/>
      <c r="N322" s="273"/>
      <c r="O322" s="413"/>
      <c r="P322" s="413"/>
      <c r="Q322" s="37">
        <f t="shared" si="25"/>
        <v>0</v>
      </c>
    </row>
    <row r="323" spans="1:17" ht="12.75" customHeight="1" hidden="1">
      <c r="A323" s="245">
        <v>7</v>
      </c>
      <c r="B323" s="22" t="s">
        <v>6</v>
      </c>
      <c r="C323" s="17"/>
      <c r="D323" s="270"/>
      <c r="E323" s="255"/>
      <c r="F323" s="279"/>
      <c r="G323" s="251"/>
      <c r="H323" s="251"/>
      <c r="I323" s="285"/>
      <c r="J323" s="282"/>
      <c r="K323" s="273"/>
      <c r="L323" s="283"/>
      <c r="M323" s="273"/>
      <c r="N323" s="273"/>
      <c r="O323" s="413"/>
      <c r="P323" s="413"/>
      <c r="Q323" s="37">
        <f aca="true" t="shared" si="26" ref="Q323:Q347">SUM(E323:P323)</f>
        <v>0</v>
      </c>
    </row>
    <row r="324" spans="1:17" ht="12.75" customHeight="1" hidden="1">
      <c r="A324" s="245">
        <v>8</v>
      </c>
      <c r="B324" s="22" t="s">
        <v>7</v>
      </c>
      <c r="C324" s="17"/>
      <c r="D324" s="270"/>
      <c r="E324" s="255"/>
      <c r="F324" s="279"/>
      <c r="G324" s="251"/>
      <c r="H324" s="251"/>
      <c r="I324" s="285"/>
      <c r="J324" s="273"/>
      <c r="K324" s="273"/>
      <c r="L324" s="283"/>
      <c r="M324" s="272"/>
      <c r="N324" s="272"/>
      <c r="O324" s="413"/>
      <c r="P324" s="413"/>
      <c r="Q324" s="37">
        <f t="shared" si="26"/>
        <v>0</v>
      </c>
    </row>
    <row r="325" spans="1:17" ht="12.75" customHeight="1" hidden="1">
      <c r="A325" s="245">
        <v>9</v>
      </c>
      <c r="B325" s="22" t="s">
        <v>8</v>
      </c>
      <c r="C325" s="17"/>
      <c r="D325" s="270"/>
      <c r="E325" s="255"/>
      <c r="F325" s="279"/>
      <c r="G325" s="251"/>
      <c r="H325" s="251"/>
      <c r="I325" s="279"/>
      <c r="J325" s="282"/>
      <c r="K325" s="273"/>
      <c r="L325" s="283"/>
      <c r="M325" s="275"/>
      <c r="N325" s="275"/>
      <c r="O325" s="413"/>
      <c r="P325" s="413"/>
      <c r="Q325" s="37">
        <f t="shared" si="26"/>
        <v>0</v>
      </c>
    </row>
    <row r="326" spans="1:17" ht="12.75" customHeight="1" hidden="1">
      <c r="A326" s="245">
        <v>10</v>
      </c>
      <c r="B326" s="22" t="s">
        <v>9</v>
      </c>
      <c r="C326" s="17"/>
      <c r="D326" s="270"/>
      <c r="E326" s="255"/>
      <c r="F326" s="279"/>
      <c r="G326" s="251"/>
      <c r="H326" s="251"/>
      <c r="I326" s="285"/>
      <c r="J326" s="282"/>
      <c r="K326" s="273"/>
      <c r="L326" s="283"/>
      <c r="M326" s="275"/>
      <c r="N326" s="275"/>
      <c r="O326" s="413"/>
      <c r="P326" s="413"/>
      <c r="Q326" s="37">
        <f t="shared" si="26"/>
        <v>0</v>
      </c>
    </row>
    <row r="327" spans="1:17" ht="12.75" customHeight="1" hidden="1">
      <c r="A327" s="245">
        <v>11</v>
      </c>
      <c r="B327" s="22" t="s">
        <v>10</v>
      </c>
      <c r="C327" s="17"/>
      <c r="D327" s="270"/>
      <c r="E327" s="255"/>
      <c r="F327" s="279"/>
      <c r="G327" s="251"/>
      <c r="H327" s="251"/>
      <c r="I327" s="285"/>
      <c r="J327" s="282"/>
      <c r="K327" s="273"/>
      <c r="L327" s="283"/>
      <c r="M327" s="282"/>
      <c r="N327" s="282"/>
      <c r="O327" s="413"/>
      <c r="P327" s="413"/>
      <c r="Q327" s="37">
        <f t="shared" si="26"/>
        <v>0</v>
      </c>
    </row>
    <row r="328" spans="1:17" ht="12.75" customHeight="1" hidden="1">
      <c r="A328" s="245">
        <v>12</v>
      </c>
      <c r="B328" s="22" t="s">
        <v>11</v>
      </c>
      <c r="C328" s="17"/>
      <c r="D328" s="270"/>
      <c r="E328" s="255"/>
      <c r="F328" s="279"/>
      <c r="G328" s="251"/>
      <c r="H328" s="251"/>
      <c r="I328" s="285"/>
      <c r="J328" s="282"/>
      <c r="K328" s="273"/>
      <c r="L328" s="274"/>
      <c r="M328" s="272"/>
      <c r="N328" s="272"/>
      <c r="O328" s="413"/>
      <c r="P328" s="413"/>
      <c r="Q328" s="37">
        <f t="shared" si="26"/>
        <v>0</v>
      </c>
    </row>
    <row r="329" spans="1:17" ht="12.75" customHeight="1" hidden="1">
      <c r="A329" s="245">
        <v>13</v>
      </c>
      <c r="B329" s="22" t="s">
        <v>13</v>
      </c>
      <c r="C329" s="17"/>
      <c r="D329" s="270"/>
      <c r="E329" s="255"/>
      <c r="F329" s="279"/>
      <c r="G329" s="251"/>
      <c r="H329" s="251"/>
      <c r="I329" s="285"/>
      <c r="J329" s="282"/>
      <c r="K329" s="273"/>
      <c r="L329" s="283"/>
      <c r="M329" s="282"/>
      <c r="N329" s="282"/>
      <c r="O329" s="413"/>
      <c r="P329" s="413"/>
      <c r="Q329" s="37">
        <f t="shared" si="26"/>
        <v>0</v>
      </c>
    </row>
    <row r="330" spans="1:17" ht="12.75" customHeight="1" hidden="1">
      <c r="A330" s="245">
        <v>14</v>
      </c>
      <c r="B330" s="22" t="s">
        <v>14</v>
      </c>
      <c r="C330" s="17"/>
      <c r="D330" s="270"/>
      <c r="E330" s="255"/>
      <c r="F330" s="279"/>
      <c r="G330" s="251"/>
      <c r="H330" s="251"/>
      <c r="I330" s="285"/>
      <c r="J330" s="273"/>
      <c r="K330" s="273"/>
      <c r="L330" s="283"/>
      <c r="M330" s="282"/>
      <c r="N330" s="282"/>
      <c r="O330" s="413"/>
      <c r="P330" s="413"/>
      <c r="Q330" s="37">
        <f t="shared" si="26"/>
        <v>0</v>
      </c>
    </row>
    <row r="331" spans="1:17" ht="12.75" customHeight="1" hidden="1">
      <c r="A331" s="245">
        <v>15</v>
      </c>
      <c r="B331" s="22" t="s">
        <v>15</v>
      </c>
      <c r="C331" s="17"/>
      <c r="D331" s="270"/>
      <c r="E331" s="255"/>
      <c r="F331" s="279"/>
      <c r="G331" s="251"/>
      <c r="H331" s="251"/>
      <c r="I331" s="285"/>
      <c r="J331" s="282"/>
      <c r="K331" s="273"/>
      <c r="L331" s="283"/>
      <c r="M331" s="282"/>
      <c r="N331" s="282"/>
      <c r="O331" s="413"/>
      <c r="P331" s="413"/>
      <c r="Q331" s="37">
        <f t="shared" si="26"/>
        <v>0</v>
      </c>
    </row>
    <row r="332" spans="1:17" ht="12.75" customHeight="1" hidden="1">
      <c r="A332" s="245">
        <v>16</v>
      </c>
      <c r="B332" s="22" t="s">
        <v>16</v>
      </c>
      <c r="C332" s="17"/>
      <c r="D332" s="270"/>
      <c r="E332" s="255"/>
      <c r="F332" s="279"/>
      <c r="G332" s="251"/>
      <c r="H332" s="251"/>
      <c r="I332" s="279"/>
      <c r="J332" s="282"/>
      <c r="K332" s="273"/>
      <c r="L332" s="283"/>
      <c r="M332" s="273"/>
      <c r="N332" s="273"/>
      <c r="O332" s="413"/>
      <c r="P332" s="413"/>
      <c r="Q332" s="37">
        <f t="shared" si="26"/>
        <v>0</v>
      </c>
    </row>
    <row r="333" spans="1:17" ht="12.75" customHeight="1" hidden="1">
      <c r="A333" s="245">
        <v>17</v>
      </c>
      <c r="B333" s="22" t="s">
        <v>17</v>
      </c>
      <c r="C333" s="17"/>
      <c r="D333" s="270"/>
      <c r="E333" s="255"/>
      <c r="F333" s="279"/>
      <c r="G333" s="251"/>
      <c r="H333" s="251"/>
      <c r="I333" s="279"/>
      <c r="J333" s="282"/>
      <c r="K333" s="273"/>
      <c r="L333" s="283"/>
      <c r="M333" s="282"/>
      <c r="N333" s="282"/>
      <c r="O333" s="413"/>
      <c r="P333" s="413"/>
      <c r="Q333" s="37">
        <f t="shared" si="26"/>
        <v>0</v>
      </c>
    </row>
    <row r="334" spans="1:17" ht="12.75" customHeight="1" hidden="1">
      <c r="A334" s="245">
        <v>18</v>
      </c>
      <c r="B334" s="22" t="s">
        <v>18</v>
      </c>
      <c r="C334" s="17"/>
      <c r="D334" s="270"/>
      <c r="E334" s="255"/>
      <c r="F334" s="279"/>
      <c r="G334" s="251"/>
      <c r="H334" s="251"/>
      <c r="I334" s="279"/>
      <c r="J334" s="273"/>
      <c r="K334" s="273"/>
      <c r="L334" s="274"/>
      <c r="M334" s="273"/>
      <c r="N334" s="273"/>
      <c r="O334" s="413"/>
      <c r="P334" s="413"/>
      <c r="Q334" s="37">
        <f t="shared" si="26"/>
        <v>0</v>
      </c>
    </row>
    <row r="335" spans="1:17" ht="12.75" customHeight="1" hidden="1">
      <c r="A335" s="245">
        <v>19</v>
      </c>
      <c r="B335" s="22" t="s">
        <v>19</v>
      </c>
      <c r="C335" s="17"/>
      <c r="D335" s="270"/>
      <c r="E335" s="255"/>
      <c r="F335" s="279"/>
      <c r="G335" s="251"/>
      <c r="H335" s="251"/>
      <c r="I335" s="279"/>
      <c r="J335" s="282"/>
      <c r="K335" s="273"/>
      <c r="L335" s="283"/>
      <c r="M335" s="273"/>
      <c r="N335" s="273"/>
      <c r="O335" s="413"/>
      <c r="P335" s="413"/>
      <c r="Q335" s="37">
        <f t="shared" si="26"/>
        <v>0</v>
      </c>
    </row>
    <row r="336" spans="1:17" ht="12.75" customHeight="1" hidden="1">
      <c r="A336" s="245">
        <v>20</v>
      </c>
      <c r="B336" s="22" t="s">
        <v>20</v>
      </c>
      <c r="C336" s="58"/>
      <c r="D336" s="271"/>
      <c r="E336" s="255"/>
      <c r="F336" s="279"/>
      <c r="G336" s="251"/>
      <c r="H336" s="251"/>
      <c r="I336" s="285"/>
      <c r="J336" s="272"/>
      <c r="K336" s="273"/>
      <c r="L336" s="283"/>
      <c r="M336" s="273"/>
      <c r="N336" s="273"/>
      <c r="O336" s="413"/>
      <c r="P336" s="413"/>
      <c r="Q336" s="37">
        <f t="shared" si="26"/>
        <v>0</v>
      </c>
    </row>
    <row r="337" spans="1:17" ht="12.75" customHeight="1" hidden="1">
      <c r="A337" s="245">
        <v>21</v>
      </c>
      <c r="B337" s="22" t="s">
        <v>21</v>
      </c>
      <c r="C337" s="58"/>
      <c r="D337" s="284"/>
      <c r="E337" s="255"/>
      <c r="F337" s="279"/>
      <c r="G337" s="251"/>
      <c r="H337" s="251"/>
      <c r="I337" s="279"/>
      <c r="J337" s="272"/>
      <c r="K337" s="273"/>
      <c r="L337" s="283"/>
      <c r="M337" s="273"/>
      <c r="N337" s="273"/>
      <c r="O337" s="413"/>
      <c r="P337" s="413"/>
      <c r="Q337" s="37">
        <f t="shared" si="26"/>
        <v>0</v>
      </c>
    </row>
    <row r="338" spans="1:18" ht="12.75" customHeight="1" hidden="1">
      <c r="A338" s="245">
        <v>22</v>
      </c>
      <c r="B338" s="22" t="s">
        <v>22</v>
      </c>
      <c r="C338" s="58"/>
      <c r="D338" s="284"/>
      <c r="E338" s="255"/>
      <c r="F338" s="279"/>
      <c r="G338" s="251"/>
      <c r="H338" s="251"/>
      <c r="I338" s="279"/>
      <c r="J338" s="272"/>
      <c r="K338" s="273"/>
      <c r="L338" s="283"/>
      <c r="M338" s="273"/>
      <c r="N338" s="273"/>
      <c r="O338" s="413"/>
      <c r="P338" s="413"/>
      <c r="Q338" s="37">
        <f t="shared" si="26"/>
        <v>0</v>
      </c>
      <c r="R338" s="416">
        <f>K319+K328+K332+K338+K340</f>
        <v>0</v>
      </c>
    </row>
    <row r="339" spans="1:17" ht="12.75" customHeight="1" hidden="1">
      <c r="A339" s="245">
        <v>23</v>
      </c>
      <c r="B339" s="22" t="s">
        <v>23</v>
      </c>
      <c r="C339" s="58"/>
      <c r="D339" s="284"/>
      <c r="E339" s="255"/>
      <c r="F339" s="279"/>
      <c r="G339" s="251"/>
      <c r="H339" s="251"/>
      <c r="I339" s="285"/>
      <c r="J339" s="272"/>
      <c r="K339" s="273"/>
      <c r="L339" s="283"/>
      <c r="M339" s="273"/>
      <c r="N339" s="273"/>
      <c r="O339" s="413"/>
      <c r="P339" s="413"/>
      <c r="Q339" s="37">
        <f t="shared" si="26"/>
        <v>0</v>
      </c>
    </row>
    <row r="340" spans="1:17" ht="12.75" customHeight="1" hidden="1">
      <c r="A340" s="245">
        <v>24</v>
      </c>
      <c r="B340" s="22" t="s">
        <v>25</v>
      </c>
      <c r="C340" s="58"/>
      <c r="D340" s="284"/>
      <c r="E340" s="255"/>
      <c r="F340" s="279"/>
      <c r="G340" s="286"/>
      <c r="H340" s="286"/>
      <c r="I340" s="286"/>
      <c r="J340" s="272"/>
      <c r="K340" s="273"/>
      <c r="L340" s="272"/>
      <c r="M340" s="273"/>
      <c r="N340" s="273"/>
      <c r="O340" s="413"/>
      <c r="P340" s="413"/>
      <c r="Q340" s="37">
        <f t="shared" si="26"/>
        <v>0</v>
      </c>
    </row>
    <row r="341" spans="1:17" ht="12.75" customHeight="1" hidden="1">
      <c r="A341" s="245">
        <v>25</v>
      </c>
      <c r="B341" s="22" t="s">
        <v>26</v>
      </c>
      <c r="C341" s="58"/>
      <c r="D341" s="284"/>
      <c r="E341" s="255"/>
      <c r="F341" s="279"/>
      <c r="G341" s="285"/>
      <c r="H341" s="285"/>
      <c r="I341" s="286"/>
      <c r="J341" s="272"/>
      <c r="K341" s="273"/>
      <c r="L341" s="272"/>
      <c r="M341" s="273"/>
      <c r="N341" s="273"/>
      <c r="O341" s="413"/>
      <c r="P341" s="413"/>
      <c r="Q341" s="37">
        <f t="shared" si="26"/>
        <v>0</v>
      </c>
    </row>
    <row r="342" spans="1:17" ht="12.75" customHeight="1" hidden="1">
      <c r="A342" s="245">
        <v>26</v>
      </c>
      <c r="B342" s="22" t="s">
        <v>29</v>
      </c>
      <c r="C342" s="58"/>
      <c r="D342" s="284"/>
      <c r="E342" s="255"/>
      <c r="F342" s="279"/>
      <c r="G342" s="286"/>
      <c r="H342" s="286"/>
      <c r="I342" s="286"/>
      <c r="J342" s="272"/>
      <c r="K342" s="273"/>
      <c r="L342" s="272"/>
      <c r="M342" s="273"/>
      <c r="N342" s="273"/>
      <c r="O342" s="413"/>
      <c r="P342" s="413"/>
      <c r="Q342" s="37">
        <f t="shared" si="26"/>
        <v>0</v>
      </c>
    </row>
    <row r="343" spans="1:17" ht="12.75" customHeight="1" hidden="1">
      <c r="A343" s="245">
        <v>27</v>
      </c>
      <c r="B343" s="22" t="s">
        <v>31</v>
      </c>
      <c r="C343" s="58"/>
      <c r="D343" s="284"/>
      <c r="E343" s="255"/>
      <c r="F343" s="279"/>
      <c r="G343" s="286"/>
      <c r="H343" s="286"/>
      <c r="I343" s="286"/>
      <c r="J343" s="272"/>
      <c r="K343" s="273"/>
      <c r="L343" s="282"/>
      <c r="M343" s="273"/>
      <c r="N343" s="273"/>
      <c r="O343" s="413"/>
      <c r="P343" s="413"/>
      <c r="Q343" s="37">
        <f t="shared" si="26"/>
        <v>0</v>
      </c>
    </row>
    <row r="344" spans="1:17" ht="12.75" customHeight="1" hidden="1">
      <c r="A344" s="245">
        <v>28</v>
      </c>
      <c r="B344" s="22" t="s">
        <v>32</v>
      </c>
      <c r="C344" s="58"/>
      <c r="D344" s="284"/>
      <c r="E344" s="255"/>
      <c r="F344" s="279"/>
      <c r="G344" s="286"/>
      <c r="H344" s="286"/>
      <c r="I344" s="286"/>
      <c r="J344" s="272"/>
      <c r="K344" s="273"/>
      <c r="L344" s="272"/>
      <c r="M344" s="273"/>
      <c r="N344" s="273"/>
      <c r="O344" s="413"/>
      <c r="P344" s="413"/>
      <c r="Q344" s="37">
        <f t="shared" si="26"/>
        <v>0</v>
      </c>
    </row>
    <row r="345" spans="1:17" ht="12.75" customHeight="1" hidden="1">
      <c r="A345" s="245">
        <v>29</v>
      </c>
      <c r="B345" s="23" t="s">
        <v>34</v>
      </c>
      <c r="C345" s="58"/>
      <c r="D345" s="284"/>
      <c r="E345" s="255"/>
      <c r="F345" s="279"/>
      <c r="G345" s="310"/>
      <c r="H345" s="310"/>
      <c r="I345" s="310"/>
      <c r="J345" s="272"/>
      <c r="K345" s="273"/>
      <c r="L345" s="272"/>
      <c r="M345" s="282"/>
      <c r="N345" s="282"/>
      <c r="O345" s="413"/>
      <c r="P345" s="413"/>
      <c r="Q345" s="37">
        <f t="shared" si="26"/>
        <v>0</v>
      </c>
    </row>
    <row r="346" spans="1:17" ht="12.75" customHeight="1" hidden="1">
      <c r="A346" s="245">
        <v>30</v>
      </c>
      <c r="B346" s="22" t="s">
        <v>46</v>
      </c>
      <c r="C346" s="58"/>
      <c r="D346" s="284"/>
      <c r="E346" s="279"/>
      <c r="F346" s="279"/>
      <c r="G346" s="279"/>
      <c r="H346" s="279"/>
      <c r="I346" s="311"/>
      <c r="J346" s="272"/>
      <c r="K346" s="273"/>
      <c r="L346" s="311"/>
      <c r="M346" s="282"/>
      <c r="N346" s="282"/>
      <c r="O346" s="413"/>
      <c r="P346" s="413"/>
      <c r="Q346" s="37">
        <f t="shared" si="26"/>
        <v>0</v>
      </c>
    </row>
    <row r="347" spans="1:17" ht="12.75" customHeight="1" hidden="1" thickBot="1">
      <c r="A347" s="245">
        <v>31</v>
      </c>
      <c r="B347" s="24" t="s">
        <v>38</v>
      </c>
      <c r="C347" s="78"/>
      <c r="D347" s="289"/>
      <c r="E347" s="255"/>
      <c r="F347" s="290"/>
      <c r="G347" s="290"/>
      <c r="H347" s="290"/>
      <c r="I347" s="313"/>
      <c r="J347" s="294"/>
      <c r="K347" s="295"/>
      <c r="L347" s="313"/>
      <c r="M347" s="294"/>
      <c r="N347" s="294"/>
      <c r="O347" s="414"/>
      <c r="P347" s="414"/>
      <c r="Q347" s="37">
        <f t="shared" si="26"/>
        <v>0</v>
      </c>
    </row>
    <row r="348" spans="2:17" ht="12.75" customHeight="1" hidden="1" thickBot="1">
      <c r="B348" s="32" t="s">
        <v>12</v>
      </c>
      <c r="C348" s="60">
        <f>SUM(C336:C347)</f>
        <v>0</v>
      </c>
      <c r="D348" s="60">
        <f>SUM(D336:D347)</f>
        <v>0</v>
      </c>
      <c r="E348" s="240">
        <f>SUM(E317:E346)+E347</f>
        <v>0</v>
      </c>
      <c r="F348" s="241">
        <f aca="true" t="shared" si="27" ref="F348:P348">SUM(F317:F346)</f>
        <v>0</v>
      </c>
      <c r="G348" s="241">
        <f>SUM(G317:G346)+G347</f>
        <v>0</v>
      </c>
      <c r="H348" s="241"/>
      <c r="I348" s="241">
        <f t="shared" si="27"/>
        <v>0</v>
      </c>
      <c r="J348" s="241">
        <f t="shared" si="27"/>
        <v>0</v>
      </c>
      <c r="K348" s="241">
        <f t="shared" si="27"/>
        <v>0</v>
      </c>
      <c r="L348" s="241">
        <f t="shared" si="27"/>
        <v>0</v>
      </c>
      <c r="M348" s="258">
        <f t="shared" si="27"/>
        <v>0</v>
      </c>
      <c r="N348" s="258">
        <f t="shared" si="27"/>
        <v>0</v>
      </c>
      <c r="O348" s="258">
        <f>SUM(O317:O346)+O347</f>
        <v>0</v>
      </c>
      <c r="P348" s="258">
        <f t="shared" si="27"/>
        <v>0</v>
      </c>
      <c r="Q348" s="27">
        <f>SUM(Q317:Q346)+Q347</f>
        <v>0</v>
      </c>
    </row>
    <row r="349" spans="2:17" ht="12.75" customHeight="1" hidden="1" thickBot="1">
      <c r="B349" s="80"/>
      <c r="C349" s="73">
        <v>2110</v>
      </c>
      <c r="D349" s="73">
        <v>2111</v>
      </c>
      <c r="E349" s="233">
        <v>2210</v>
      </c>
      <c r="F349" s="181">
        <v>2230</v>
      </c>
      <c r="G349" s="181">
        <v>2240</v>
      </c>
      <c r="H349" s="181"/>
      <c r="I349" s="181">
        <v>2271</v>
      </c>
      <c r="J349" s="182">
        <v>2272</v>
      </c>
      <c r="K349" s="182">
        <v>2273</v>
      </c>
      <c r="L349" s="181">
        <v>2274</v>
      </c>
      <c r="M349" s="181">
        <v>2275</v>
      </c>
      <c r="N349" s="181">
        <v>2800</v>
      </c>
      <c r="O349" s="121">
        <v>2730</v>
      </c>
      <c r="P349" s="15">
        <v>2282</v>
      </c>
      <c r="Q349" s="27">
        <f>E348+F348+G348+I348+J348+K348+L348+M348+N348+O348+P348</f>
        <v>0</v>
      </c>
    </row>
    <row r="350" spans="2:17" ht="12.75" customHeight="1" hidden="1">
      <c r="B350" s="63"/>
      <c r="C350" s="63"/>
      <c r="D350" s="63"/>
      <c r="E350" s="189"/>
      <c r="F350" s="189"/>
      <c r="G350" s="189"/>
      <c r="H350" s="189"/>
      <c r="I350" s="189"/>
      <c r="J350" s="299"/>
      <c r="K350" s="299"/>
      <c r="L350" s="189"/>
      <c r="M350" s="189"/>
      <c r="N350" s="189"/>
      <c r="O350" s="299"/>
      <c r="P350" s="299"/>
      <c r="Q350" s="184">
        <f>SUM(E350:P350)</f>
        <v>0</v>
      </c>
    </row>
    <row r="351" spans="2:17" ht="12.75" customHeight="1" hidden="1">
      <c r="B351" s="337" t="s">
        <v>12</v>
      </c>
      <c r="C351" s="88"/>
      <c r="D351" s="88"/>
      <c r="E351" s="410">
        <f aca="true" t="shared" si="28" ref="E351:O351">SUM(E350)</f>
        <v>0</v>
      </c>
      <c r="F351" s="410">
        <f t="shared" si="28"/>
        <v>0</v>
      </c>
      <c r="G351" s="410">
        <f t="shared" si="28"/>
        <v>0</v>
      </c>
      <c r="H351" s="410"/>
      <c r="I351" s="410">
        <f t="shared" si="28"/>
        <v>0</v>
      </c>
      <c r="J351" s="410">
        <f t="shared" si="28"/>
        <v>0</v>
      </c>
      <c r="K351" s="410">
        <f>SUM(K350)</f>
        <v>0</v>
      </c>
      <c r="L351" s="410">
        <f t="shared" si="28"/>
        <v>0</v>
      </c>
      <c r="M351" s="410">
        <f t="shared" si="28"/>
        <v>0</v>
      </c>
      <c r="N351" s="410">
        <f t="shared" si="28"/>
        <v>0</v>
      </c>
      <c r="O351" s="410">
        <f t="shared" si="28"/>
        <v>0</v>
      </c>
      <c r="P351" s="410">
        <f>SUM(P350)</f>
        <v>0</v>
      </c>
      <c r="Q351" s="410">
        <f>SUM(E351:P351)</f>
        <v>0</v>
      </c>
    </row>
    <row r="352" spans="2:17" ht="12.75" customHeight="1" hidden="1">
      <c r="B352" s="64"/>
      <c r="C352" s="64"/>
      <c r="D352" s="64"/>
      <c r="E352" s="64"/>
      <c r="F352" s="64"/>
      <c r="G352" s="64"/>
      <c r="H352" s="64"/>
      <c r="I352" s="64"/>
      <c r="J352" s="64"/>
      <c r="K352" s="64"/>
      <c r="L352" s="64"/>
      <c r="M352" s="64"/>
      <c r="N352" s="64"/>
      <c r="O352" s="64"/>
      <c r="P352" s="64"/>
      <c r="Q352" s="64"/>
    </row>
    <row r="353" spans="2:17" ht="12.75" customHeight="1" hidden="1">
      <c r="B353" s="64"/>
      <c r="C353" s="64"/>
      <c r="D353" s="64"/>
      <c r="E353" s="64"/>
      <c r="F353" s="64"/>
      <c r="G353" s="64"/>
      <c r="H353" s="64"/>
      <c r="I353" s="64"/>
      <c r="J353" s="64"/>
      <c r="K353" s="64"/>
      <c r="L353" s="64"/>
      <c r="M353" s="64"/>
      <c r="N353" s="64"/>
      <c r="O353" s="64"/>
      <c r="P353" s="64"/>
      <c r="Q353" s="64"/>
    </row>
    <row r="354" spans="2:17" ht="12.75" customHeight="1" hidden="1">
      <c r="B354" s="64"/>
      <c r="C354" s="64"/>
      <c r="D354" s="64"/>
      <c r="E354" s="64"/>
      <c r="F354" s="64"/>
      <c r="G354" s="64"/>
      <c r="H354" s="64"/>
      <c r="I354" s="64"/>
      <c r="J354" s="64"/>
      <c r="K354" s="64"/>
      <c r="L354" s="64"/>
      <c r="M354" s="64"/>
      <c r="N354" s="64"/>
      <c r="O354" s="64"/>
      <c r="P354" s="64"/>
      <c r="Q354" s="64"/>
    </row>
    <row r="355" spans="2:17" ht="12.75" customHeight="1" hidden="1">
      <c r="B355" s="64"/>
      <c r="C355" s="64"/>
      <c r="D355" s="64"/>
      <c r="E355" s="64"/>
      <c r="F355" s="64"/>
      <c r="G355" s="64"/>
      <c r="H355" s="64"/>
      <c r="I355" s="64"/>
      <c r="J355" s="64"/>
      <c r="K355" s="64"/>
      <c r="L355" s="64"/>
      <c r="M355" s="64"/>
      <c r="N355" s="64"/>
      <c r="O355" s="64"/>
      <c r="P355" s="64"/>
      <c r="Q355" s="64"/>
    </row>
    <row r="356" spans="2:17" ht="12.75" customHeight="1" hidden="1">
      <c r="B356" s="64"/>
      <c r="C356" s="64"/>
      <c r="D356" s="64"/>
      <c r="E356" s="64"/>
      <c r="F356" s="64"/>
      <c r="G356" s="64"/>
      <c r="H356" s="64"/>
      <c r="I356" s="64"/>
      <c r="J356" s="64"/>
      <c r="K356" s="64"/>
      <c r="L356" s="64"/>
      <c r="M356" s="64"/>
      <c r="N356" s="64"/>
      <c r="O356" s="64"/>
      <c r="P356" s="64"/>
      <c r="Q356" s="64"/>
    </row>
    <row r="357" spans="2:17" ht="12.75" customHeight="1" hidden="1">
      <c r="B357" s="64"/>
      <c r="C357" s="64"/>
      <c r="D357" s="64"/>
      <c r="E357" s="64"/>
      <c r="F357" s="64"/>
      <c r="G357" s="64"/>
      <c r="H357" s="64"/>
      <c r="I357" s="64"/>
      <c r="J357" s="64"/>
      <c r="K357" s="64"/>
      <c r="L357" s="64"/>
      <c r="M357" s="64"/>
      <c r="N357" s="64"/>
      <c r="O357" s="64"/>
      <c r="P357" s="64"/>
      <c r="Q357" s="64"/>
    </row>
    <row r="358" spans="2:17" ht="12.75" customHeight="1" hidden="1" thickBot="1">
      <c r="B358" s="436" t="s">
        <v>64</v>
      </c>
      <c r="C358" s="436"/>
      <c r="D358" s="436"/>
      <c r="E358" s="436"/>
      <c r="F358" s="436"/>
      <c r="G358" s="436"/>
      <c r="H358" s="436"/>
      <c r="I358" s="436"/>
      <c r="J358" s="436"/>
      <c r="K358" s="436"/>
      <c r="L358" s="436"/>
      <c r="M358" s="436"/>
      <c r="N358" s="436"/>
      <c r="O358" s="436"/>
      <c r="P358" s="436"/>
      <c r="Q358" s="436"/>
    </row>
    <row r="359" spans="2:17" ht="12.75" customHeight="1" hidden="1" thickBot="1">
      <c r="B359" s="25" t="s">
        <v>36</v>
      </c>
      <c r="C359" s="206">
        <v>2110</v>
      </c>
      <c r="D359" s="206">
        <v>2111</v>
      </c>
      <c r="E359" s="207">
        <v>2210</v>
      </c>
      <c r="F359" s="120">
        <v>2230</v>
      </c>
      <c r="G359" s="120">
        <v>2240</v>
      </c>
      <c r="H359" s="120"/>
      <c r="I359" s="120">
        <v>2271</v>
      </c>
      <c r="J359" s="15">
        <v>2272</v>
      </c>
      <c r="K359" s="15">
        <v>2273</v>
      </c>
      <c r="L359" s="121">
        <v>2274</v>
      </c>
      <c r="M359" s="121">
        <v>2275</v>
      </c>
      <c r="N359" s="121">
        <v>2800</v>
      </c>
      <c r="O359" s="121">
        <v>2730</v>
      </c>
      <c r="P359" s="15">
        <v>2282</v>
      </c>
      <c r="Q359" s="226" t="s">
        <v>35</v>
      </c>
    </row>
    <row r="360" spans="1:17" ht="12.75" customHeight="1" hidden="1">
      <c r="A360" s="245">
        <v>1</v>
      </c>
      <c r="B360" s="21" t="s">
        <v>0</v>
      </c>
      <c r="C360" s="196"/>
      <c r="D360" s="94"/>
      <c r="E360" s="105"/>
      <c r="F360" s="92"/>
      <c r="G360" s="92"/>
      <c r="H360" s="92"/>
      <c r="I360" s="93"/>
      <c r="J360" s="46"/>
      <c r="K360" s="28"/>
      <c r="L360" s="46"/>
      <c r="M360" s="28"/>
      <c r="N360" s="28"/>
      <c r="O360" s="144"/>
      <c r="P360" s="132"/>
      <c r="Q360" s="31">
        <f aca="true" t="shared" si="29" ref="Q360:Q365">SUM(E360:P360)</f>
        <v>0</v>
      </c>
    </row>
    <row r="361" spans="1:17" ht="12.75" customHeight="1" hidden="1">
      <c r="A361" s="245">
        <v>2</v>
      </c>
      <c r="B361" s="22" t="s">
        <v>1</v>
      </c>
      <c r="C361" s="197"/>
      <c r="D361" s="98"/>
      <c r="E361" s="106"/>
      <c r="F361" s="95"/>
      <c r="G361" s="97"/>
      <c r="H361" s="97"/>
      <c r="I361" s="96"/>
      <c r="J361" s="4"/>
      <c r="K361" s="273"/>
      <c r="L361" s="29"/>
      <c r="M361" s="6"/>
      <c r="N361" s="6"/>
      <c r="O361" s="153"/>
      <c r="P361" s="133"/>
      <c r="Q361" s="37">
        <f t="shared" si="29"/>
        <v>0</v>
      </c>
    </row>
    <row r="362" spans="1:17" ht="12.75" customHeight="1" hidden="1">
      <c r="A362" s="245">
        <v>3</v>
      </c>
      <c r="B362" s="22" t="s">
        <v>2</v>
      </c>
      <c r="C362" s="197"/>
      <c r="D362" s="98"/>
      <c r="E362" s="106"/>
      <c r="F362" s="95"/>
      <c r="G362" s="97"/>
      <c r="H362" s="97"/>
      <c r="I362" s="95"/>
      <c r="J362" s="4"/>
      <c r="K362" s="273"/>
      <c r="L362" s="29"/>
      <c r="M362" s="29"/>
      <c r="N362" s="29"/>
      <c r="O362" s="153"/>
      <c r="P362" s="133"/>
      <c r="Q362" s="37">
        <f t="shared" si="29"/>
        <v>0</v>
      </c>
    </row>
    <row r="363" spans="1:17" ht="12.75" customHeight="1" hidden="1">
      <c r="A363" s="245">
        <v>4</v>
      </c>
      <c r="B363" s="22" t="s">
        <v>3</v>
      </c>
      <c r="C363" s="197"/>
      <c r="D363" s="98"/>
      <c r="E363" s="106"/>
      <c r="F363" s="95"/>
      <c r="G363" s="97"/>
      <c r="H363" s="97"/>
      <c r="I363" s="96"/>
      <c r="J363" s="4"/>
      <c r="K363" s="273"/>
      <c r="L363" s="29"/>
      <c r="M363" s="29"/>
      <c r="N363" s="29"/>
      <c r="O363" s="153"/>
      <c r="P363" s="133"/>
      <c r="Q363" s="37">
        <f t="shared" si="29"/>
        <v>0</v>
      </c>
    </row>
    <row r="364" spans="1:17" ht="12.75" customHeight="1" hidden="1">
      <c r="A364" s="245">
        <v>5</v>
      </c>
      <c r="B364" s="22" t="s">
        <v>4</v>
      </c>
      <c r="C364" s="197"/>
      <c r="D364" s="98"/>
      <c r="E364" s="106"/>
      <c r="F364" s="95"/>
      <c r="G364" s="97"/>
      <c r="H364" s="97"/>
      <c r="I364" s="95"/>
      <c r="J364" s="4"/>
      <c r="K364" s="273"/>
      <c r="L364" s="29"/>
      <c r="M364" s="29"/>
      <c r="N364" s="29"/>
      <c r="O364" s="153"/>
      <c r="P364" s="133"/>
      <c r="Q364" s="37">
        <f t="shared" si="29"/>
        <v>0</v>
      </c>
    </row>
    <row r="365" spans="1:17" ht="12.75" customHeight="1" hidden="1">
      <c r="A365" s="245">
        <v>6</v>
      </c>
      <c r="B365" s="22" t="s">
        <v>5</v>
      </c>
      <c r="C365" s="197"/>
      <c r="D365" s="98"/>
      <c r="E365" s="106"/>
      <c r="F365" s="95"/>
      <c r="G365" s="95"/>
      <c r="H365" s="95"/>
      <c r="I365" s="95"/>
      <c r="J365" s="29"/>
      <c r="K365" s="273"/>
      <c r="L365" s="29"/>
      <c r="M365" s="29"/>
      <c r="N365" s="29"/>
      <c r="O365" s="153"/>
      <c r="P365" s="133"/>
      <c r="Q365" s="37">
        <f t="shared" si="29"/>
        <v>0</v>
      </c>
    </row>
    <row r="366" spans="1:17" ht="12.75" customHeight="1" hidden="1">
      <c r="A366" s="245">
        <v>7</v>
      </c>
      <c r="B366" s="22" t="s">
        <v>6</v>
      </c>
      <c r="C366" s="197"/>
      <c r="D366" s="98"/>
      <c r="E366" s="106"/>
      <c r="F366" s="95"/>
      <c r="G366" s="97"/>
      <c r="H366" s="97"/>
      <c r="I366" s="95"/>
      <c r="J366" s="29"/>
      <c r="K366" s="273"/>
      <c r="L366" s="36"/>
      <c r="M366" s="29"/>
      <c r="N366" s="29"/>
      <c r="O366" s="153"/>
      <c r="P366" s="133"/>
      <c r="Q366" s="37">
        <f aca="true" t="shared" si="30" ref="Q366:Q390">SUM(E366:P366)</f>
        <v>0</v>
      </c>
    </row>
    <row r="367" spans="1:17" ht="12.75" customHeight="1" hidden="1">
      <c r="A367" s="245">
        <v>8</v>
      </c>
      <c r="B367" s="22" t="s">
        <v>7</v>
      </c>
      <c r="C367" s="197"/>
      <c r="D367" s="98"/>
      <c r="E367" s="106"/>
      <c r="F367" s="95"/>
      <c r="G367" s="97"/>
      <c r="H367" s="97"/>
      <c r="I367" s="95"/>
      <c r="J367" s="29"/>
      <c r="K367" s="273"/>
      <c r="L367" s="36"/>
      <c r="M367" s="29"/>
      <c r="N367" s="29"/>
      <c r="O367" s="153"/>
      <c r="P367" s="133"/>
      <c r="Q367" s="37">
        <f t="shared" si="30"/>
        <v>0</v>
      </c>
    </row>
    <row r="368" spans="1:17" ht="12.75" customHeight="1" hidden="1">
      <c r="A368" s="245">
        <v>9</v>
      </c>
      <c r="B368" s="22" t="s">
        <v>8</v>
      </c>
      <c r="C368" s="197"/>
      <c r="D368" s="98"/>
      <c r="E368" s="107"/>
      <c r="F368" s="95"/>
      <c r="G368" s="97"/>
      <c r="H368" s="97"/>
      <c r="I368" s="95"/>
      <c r="J368" s="36"/>
      <c r="K368" s="273"/>
      <c r="L368" s="36"/>
      <c r="M368" s="29"/>
      <c r="N368" s="29"/>
      <c r="O368" s="153"/>
      <c r="P368" s="133"/>
      <c r="Q368" s="37">
        <f t="shared" si="30"/>
        <v>0</v>
      </c>
    </row>
    <row r="369" spans="1:17" ht="12.75" customHeight="1" hidden="1">
      <c r="A369" s="245">
        <v>10</v>
      </c>
      <c r="B369" s="22" t="s">
        <v>9</v>
      </c>
      <c r="C369" s="197"/>
      <c r="D369" s="98"/>
      <c r="E369" s="107"/>
      <c r="F369" s="95"/>
      <c r="G369" s="97"/>
      <c r="H369" s="97"/>
      <c r="I369" s="95"/>
      <c r="J369" s="4"/>
      <c r="K369" s="273"/>
      <c r="L369" s="36"/>
      <c r="M369" s="29"/>
      <c r="N369" s="29"/>
      <c r="O369" s="153"/>
      <c r="P369" s="133"/>
      <c r="Q369" s="37">
        <f t="shared" si="30"/>
        <v>0</v>
      </c>
    </row>
    <row r="370" spans="1:17" ht="12.75" customHeight="1" hidden="1">
      <c r="A370" s="245">
        <v>11</v>
      </c>
      <c r="B370" s="22" t="s">
        <v>10</v>
      </c>
      <c r="C370" s="197"/>
      <c r="D370" s="98"/>
      <c r="E370" s="107"/>
      <c r="F370" s="95"/>
      <c r="G370" s="97"/>
      <c r="H370" s="97"/>
      <c r="I370" s="95"/>
      <c r="J370" s="29"/>
      <c r="K370" s="273"/>
      <c r="L370" s="36"/>
      <c r="M370" s="29"/>
      <c r="N370" s="29"/>
      <c r="O370" s="153"/>
      <c r="P370" s="133"/>
      <c r="Q370" s="37">
        <f t="shared" si="30"/>
        <v>0</v>
      </c>
    </row>
    <row r="371" spans="1:17" ht="12.75" customHeight="1" hidden="1">
      <c r="A371" s="245">
        <v>12</v>
      </c>
      <c r="B371" s="22" t="s">
        <v>11</v>
      </c>
      <c r="C371" s="197"/>
      <c r="D371" s="98"/>
      <c r="E371" s="107"/>
      <c r="F371" s="95"/>
      <c r="G371" s="97"/>
      <c r="H371" s="97"/>
      <c r="I371" s="98"/>
      <c r="J371" s="36"/>
      <c r="K371" s="273"/>
      <c r="L371" s="29"/>
      <c r="M371" s="29"/>
      <c r="N371" s="29"/>
      <c r="O371" s="153"/>
      <c r="P371" s="153"/>
      <c r="Q371" s="37">
        <f t="shared" si="30"/>
        <v>0</v>
      </c>
    </row>
    <row r="372" spans="1:17" ht="12.75" customHeight="1" hidden="1">
      <c r="A372" s="245">
        <v>13</v>
      </c>
      <c r="B372" s="22" t="s">
        <v>13</v>
      </c>
      <c r="C372" s="197"/>
      <c r="D372" s="98"/>
      <c r="E372" s="107"/>
      <c r="F372" s="95"/>
      <c r="G372" s="97"/>
      <c r="H372" s="97"/>
      <c r="I372" s="95"/>
      <c r="J372" s="4"/>
      <c r="K372" s="273"/>
      <c r="L372" s="36"/>
      <c r="M372" s="29"/>
      <c r="N372" s="29"/>
      <c r="O372" s="153"/>
      <c r="P372" s="133"/>
      <c r="Q372" s="37">
        <f t="shared" si="30"/>
        <v>0</v>
      </c>
    </row>
    <row r="373" spans="1:17" ht="12.75" customHeight="1" hidden="1">
      <c r="A373" s="245">
        <v>14</v>
      </c>
      <c r="B373" s="22" t="s">
        <v>14</v>
      </c>
      <c r="C373" s="197"/>
      <c r="D373" s="98"/>
      <c r="E373" s="107"/>
      <c r="F373" s="95"/>
      <c r="G373" s="97"/>
      <c r="H373" s="97"/>
      <c r="I373" s="96"/>
      <c r="J373" s="29"/>
      <c r="K373" s="273"/>
      <c r="L373" s="36"/>
      <c r="M373" s="29"/>
      <c r="N373" s="29"/>
      <c r="O373" s="153"/>
      <c r="P373" s="133"/>
      <c r="Q373" s="37">
        <f t="shared" si="30"/>
        <v>0</v>
      </c>
    </row>
    <row r="374" spans="1:17" ht="12.75" customHeight="1" hidden="1">
      <c r="A374" s="245">
        <v>15</v>
      </c>
      <c r="B374" s="22" t="s">
        <v>15</v>
      </c>
      <c r="C374" s="197"/>
      <c r="D374" s="98"/>
      <c r="E374" s="107"/>
      <c r="F374" s="95"/>
      <c r="G374" s="97"/>
      <c r="H374" s="97"/>
      <c r="I374" s="98"/>
      <c r="J374" s="4"/>
      <c r="K374" s="273"/>
      <c r="L374" s="36"/>
      <c r="M374" s="29"/>
      <c r="N374" s="29"/>
      <c r="O374" s="153"/>
      <c r="P374" s="133"/>
      <c r="Q374" s="37">
        <f t="shared" si="30"/>
        <v>0</v>
      </c>
    </row>
    <row r="375" spans="1:17" ht="12.75" customHeight="1" hidden="1">
      <c r="A375" s="245">
        <v>16</v>
      </c>
      <c r="B375" s="22" t="s">
        <v>16</v>
      </c>
      <c r="C375" s="197"/>
      <c r="D375" s="98"/>
      <c r="E375" s="107"/>
      <c r="F375" s="95"/>
      <c r="G375" s="97"/>
      <c r="H375" s="97"/>
      <c r="I375" s="95"/>
      <c r="J375" s="4"/>
      <c r="K375" s="273"/>
      <c r="L375" s="36"/>
      <c r="M375" s="29"/>
      <c r="N375" s="29"/>
      <c r="O375" s="153"/>
      <c r="P375" s="133"/>
      <c r="Q375" s="37">
        <f t="shared" si="30"/>
        <v>0</v>
      </c>
    </row>
    <row r="376" spans="1:17" ht="12.75" customHeight="1" hidden="1">
      <c r="A376" s="245">
        <v>17</v>
      </c>
      <c r="B376" s="22" t="s">
        <v>17</v>
      </c>
      <c r="C376" s="197"/>
      <c r="D376" s="98"/>
      <c r="E376" s="255"/>
      <c r="F376" s="279"/>
      <c r="G376" s="251"/>
      <c r="H376" s="251"/>
      <c r="I376" s="279"/>
      <c r="J376" s="272"/>
      <c r="K376" s="273"/>
      <c r="L376" s="282"/>
      <c r="M376" s="273"/>
      <c r="N376" s="273"/>
      <c r="O376" s="153"/>
      <c r="P376" s="133"/>
      <c r="Q376" s="37">
        <f t="shared" si="30"/>
        <v>0</v>
      </c>
    </row>
    <row r="377" spans="1:17" ht="12.75" customHeight="1" hidden="1">
      <c r="A377" s="245">
        <v>18</v>
      </c>
      <c r="B377" s="22" t="s">
        <v>18</v>
      </c>
      <c r="C377" s="197"/>
      <c r="D377" s="98"/>
      <c r="E377" s="255"/>
      <c r="F377" s="279"/>
      <c r="G377" s="251"/>
      <c r="H377" s="251"/>
      <c r="I377" s="279"/>
      <c r="J377" s="282"/>
      <c r="K377" s="273"/>
      <c r="L377" s="273"/>
      <c r="M377" s="273"/>
      <c r="N377" s="273"/>
      <c r="O377" s="153"/>
      <c r="P377" s="133"/>
      <c r="Q377" s="37">
        <f t="shared" si="30"/>
        <v>0</v>
      </c>
    </row>
    <row r="378" spans="1:17" ht="12.75" customHeight="1" hidden="1">
      <c r="A378" s="245">
        <v>19</v>
      </c>
      <c r="B378" s="22" t="s">
        <v>19</v>
      </c>
      <c r="C378" s="197"/>
      <c r="D378" s="98"/>
      <c r="E378" s="255"/>
      <c r="F378" s="279"/>
      <c r="G378" s="251"/>
      <c r="H378" s="251"/>
      <c r="I378" s="279"/>
      <c r="J378" s="272"/>
      <c r="K378" s="273"/>
      <c r="L378" s="282"/>
      <c r="M378" s="273"/>
      <c r="N378" s="273"/>
      <c r="O378" s="153"/>
      <c r="P378" s="133"/>
      <c r="Q378" s="37">
        <f t="shared" si="30"/>
        <v>0</v>
      </c>
    </row>
    <row r="379" spans="1:18" ht="12.75" customHeight="1" hidden="1">
      <c r="A379" s="245">
        <v>20</v>
      </c>
      <c r="B379" s="22" t="s">
        <v>20</v>
      </c>
      <c r="C379" s="198"/>
      <c r="D379" s="95"/>
      <c r="E379" s="255"/>
      <c r="F379" s="279"/>
      <c r="G379" s="251"/>
      <c r="H379" s="251"/>
      <c r="I379" s="285"/>
      <c r="J379" s="272"/>
      <c r="K379" s="273"/>
      <c r="L379" s="282"/>
      <c r="M379" s="273"/>
      <c r="N379" s="273"/>
      <c r="O379" s="133"/>
      <c r="P379" s="133"/>
      <c r="Q379" s="37">
        <f t="shared" si="30"/>
        <v>0</v>
      </c>
      <c r="R379" s="416">
        <f>K362+K371+K375+K381+K383</f>
        <v>0</v>
      </c>
    </row>
    <row r="380" spans="1:17" ht="12.75" customHeight="1" hidden="1">
      <c r="A380" s="245">
        <v>21</v>
      </c>
      <c r="B380" s="22" t="s">
        <v>21</v>
      </c>
      <c r="C380" s="198"/>
      <c r="D380" s="96"/>
      <c r="E380" s="255"/>
      <c r="F380" s="279"/>
      <c r="G380" s="251"/>
      <c r="H380" s="251"/>
      <c r="I380" s="279"/>
      <c r="J380" s="273"/>
      <c r="K380" s="273"/>
      <c r="L380" s="282"/>
      <c r="M380" s="273"/>
      <c r="N380" s="273"/>
      <c r="O380" s="133"/>
      <c r="P380" s="133"/>
      <c r="Q380" s="37">
        <f t="shared" si="30"/>
        <v>0</v>
      </c>
    </row>
    <row r="381" spans="1:17" ht="12.75" customHeight="1" hidden="1">
      <c r="A381" s="245">
        <v>22</v>
      </c>
      <c r="B381" s="22" t="s">
        <v>22</v>
      </c>
      <c r="C381" s="198"/>
      <c r="D381" s="96"/>
      <c r="E381" s="255"/>
      <c r="F381" s="279"/>
      <c r="G381" s="251"/>
      <c r="H381" s="251"/>
      <c r="I381" s="279"/>
      <c r="J381" s="272"/>
      <c r="K381" s="273"/>
      <c r="L381" s="282"/>
      <c r="M381" s="273"/>
      <c r="N381" s="273"/>
      <c r="O381" s="133"/>
      <c r="P381" s="133"/>
      <c r="Q381" s="37">
        <f t="shared" si="30"/>
        <v>0</v>
      </c>
    </row>
    <row r="382" spans="1:17" ht="12.75" customHeight="1" hidden="1">
      <c r="A382" s="245">
        <v>23</v>
      </c>
      <c r="B382" s="22" t="s">
        <v>23</v>
      </c>
      <c r="C382" s="198"/>
      <c r="D382" s="96"/>
      <c r="E382" s="255"/>
      <c r="F382" s="279"/>
      <c r="G382" s="251"/>
      <c r="H382" s="251"/>
      <c r="I382" s="286"/>
      <c r="J382" s="272"/>
      <c r="K382" s="273"/>
      <c r="L382" s="282"/>
      <c r="M382" s="273"/>
      <c r="N382" s="273"/>
      <c r="O382" s="133"/>
      <c r="P382" s="133"/>
      <c r="Q382" s="37">
        <f t="shared" si="30"/>
        <v>0</v>
      </c>
    </row>
    <row r="383" spans="1:17" ht="12.75" customHeight="1" hidden="1">
      <c r="A383" s="245">
        <v>24</v>
      </c>
      <c r="B383" s="22" t="s">
        <v>25</v>
      </c>
      <c r="C383" s="198"/>
      <c r="D383" s="96"/>
      <c r="E383" s="255"/>
      <c r="F383" s="279"/>
      <c r="G383" s="286"/>
      <c r="H383" s="286"/>
      <c r="I383" s="286"/>
      <c r="J383" s="272"/>
      <c r="K383" s="273"/>
      <c r="L383" s="272"/>
      <c r="M383" s="273"/>
      <c r="N383" s="273"/>
      <c r="O383" s="133"/>
      <c r="P383" s="133"/>
      <c r="Q383" s="37">
        <f t="shared" si="30"/>
        <v>0</v>
      </c>
    </row>
    <row r="384" spans="1:17" ht="12.75" customHeight="1" hidden="1">
      <c r="A384" s="245">
        <v>25</v>
      </c>
      <c r="B384" s="22" t="s">
        <v>26</v>
      </c>
      <c r="C384" s="198"/>
      <c r="D384" s="96"/>
      <c r="E384" s="255"/>
      <c r="F384" s="279"/>
      <c r="G384" s="285"/>
      <c r="H384" s="285"/>
      <c r="I384" s="286"/>
      <c r="J384" s="272"/>
      <c r="K384" s="273"/>
      <c r="L384" s="272"/>
      <c r="M384" s="273"/>
      <c r="N384" s="273"/>
      <c r="O384" s="133"/>
      <c r="P384" s="133"/>
      <c r="Q384" s="37">
        <f t="shared" si="30"/>
        <v>0</v>
      </c>
    </row>
    <row r="385" spans="1:17" ht="12.75" customHeight="1" hidden="1">
      <c r="A385" s="245">
        <v>26</v>
      </c>
      <c r="B385" s="22" t="s">
        <v>29</v>
      </c>
      <c r="C385" s="198"/>
      <c r="D385" s="96"/>
      <c r="E385" s="255"/>
      <c r="F385" s="279"/>
      <c r="G385" s="285"/>
      <c r="H385" s="285"/>
      <c r="I385" s="286"/>
      <c r="J385" s="272"/>
      <c r="K385" s="273"/>
      <c r="L385" s="272"/>
      <c r="M385" s="272"/>
      <c r="N385" s="272"/>
      <c r="O385" s="133"/>
      <c r="P385" s="133"/>
      <c r="Q385" s="37">
        <f t="shared" si="30"/>
        <v>0</v>
      </c>
    </row>
    <row r="386" spans="1:17" ht="12.75" customHeight="1" hidden="1">
      <c r="A386" s="245">
        <v>27</v>
      </c>
      <c r="B386" s="22" t="s">
        <v>31</v>
      </c>
      <c r="C386" s="198"/>
      <c r="D386" s="96"/>
      <c r="E386" s="255"/>
      <c r="F386" s="279"/>
      <c r="G386" s="285"/>
      <c r="H386" s="285"/>
      <c r="I386" s="286"/>
      <c r="J386" s="272"/>
      <c r="K386" s="273"/>
      <c r="L386" s="282"/>
      <c r="M386" s="272"/>
      <c r="N386" s="272"/>
      <c r="O386" s="133"/>
      <c r="P386" s="133"/>
      <c r="Q386" s="37">
        <f t="shared" si="30"/>
        <v>0</v>
      </c>
    </row>
    <row r="387" spans="1:17" ht="12.75" customHeight="1" hidden="1">
      <c r="A387" s="245">
        <v>28</v>
      </c>
      <c r="B387" s="22" t="s">
        <v>32</v>
      </c>
      <c r="C387" s="198"/>
      <c r="D387" s="96"/>
      <c r="E387" s="255"/>
      <c r="F387" s="279"/>
      <c r="G387" s="285"/>
      <c r="H387" s="285"/>
      <c r="I387" s="286"/>
      <c r="J387" s="272"/>
      <c r="K387" s="273"/>
      <c r="L387" s="272"/>
      <c r="M387" s="272"/>
      <c r="N387" s="272"/>
      <c r="O387" s="133"/>
      <c r="P387" s="133"/>
      <c r="Q387" s="37">
        <f t="shared" si="30"/>
        <v>0</v>
      </c>
    </row>
    <row r="388" spans="1:17" ht="12.75" customHeight="1" hidden="1">
      <c r="A388" s="245">
        <v>29</v>
      </c>
      <c r="B388" s="23" t="s">
        <v>34</v>
      </c>
      <c r="C388" s="198"/>
      <c r="D388" s="96"/>
      <c r="E388" s="255"/>
      <c r="F388" s="279"/>
      <c r="G388" s="310"/>
      <c r="H388" s="310"/>
      <c r="I388" s="310"/>
      <c r="J388" s="272"/>
      <c r="K388" s="273"/>
      <c r="L388" s="272"/>
      <c r="M388" s="272"/>
      <c r="N388" s="272"/>
      <c r="O388" s="133"/>
      <c r="P388" s="133"/>
      <c r="Q388" s="37">
        <f t="shared" si="30"/>
        <v>0</v>
      </c>
    </row>
    <row r="389" spans="1:17" ht="12.75" customHeight="1" hidden="1">
      <c r="A389" s="245">
        <v>30</v>
      </c>
      <c r="B389" s="22" t="s">
        <v>46</v>
      </c>
      <c r="C389" s="198"/>
      <c r="D389" s="96"/>
      <c r="E389" s="285"/>
      <c r="F389" s="279"/>
      <c r="G389" s="279"/>
      <c r="H389" s="279"/>
      <c r="I389" s="311"/>
      <c r="J389" s="272"/>
      <c r="K389" s="273"/>
      <c r="L389" s="311"/>
      <c r="M389" s="272"/>
      <c r="N389" s="272"/>
      <c r="O389" s="133"/>
      <c r="P389" s="133"/>
      <c r="Q389" s="37">
        <f t="shared" si="30"/>
        <v>0</v>
      </c>
    </row>
    <row r="390" spans="1:17" ht="12.75" customHeight="1" hidden="1" thickBot="1">
      <c r="A390" s="245">
        <v>31</v>
      </c>
      <c r="B390" s="24" t="s">
        <v>38</v>
      </c>
      <c r="C390" s="199"/>
      <c r="D390" s="108"/>
      <c r="E390" s="290"/>
      <c r="F390" s="290"/>
      <c r="G390" s="418"/>
      <c r="H390" s="418"/>
      <c r="I390" s="290"/>
      <c r="J390" s="294"/>
      <c r="K390" s="295"/>
      <c r="L390" s="313"/>
      <c r="M390" s="294"/>
      <c r="N390" s="294"/>
      <c r="O390" s="134"/>
      <c r="P390" s="134"/>
      <c r="Q390" s="220">
        <f t="shared" si="30"/>
        <v>0</v>
      </c>
    </row>
    <row r="391" spans="2:17" ht="12.75" customHeight="1" hidden="1" thickBot="1">
      <c r="B391" s="32" t="s">
        <v>12</v>
      </c>
      <c r="C391" s="115">
        <f>SUM(C379:C390)</f>
        <v>0</v>
      </c>
      <c r="D391" s="115">
        <f>SUM(D379:D390)</f>
        <v>0</v>
      </c>
      <c r="E391" s="298">
        <f>SUM(E360:E389)+E390</f>
        <v>0</v>
      </c>
      <c r="F391" s="176">
        <f>SUM(F360:F389)</f>
        <v>0</v>
      </c>
      <c r="G391" s="176">
        <f>SUM(G360:G389)</f>
        <v>0</v>
      </c>
      <c r="H391" s="176"/>
      <c r="I391" s="176">
        <f aca="true" t="shared" si="31" ref="I391:P391">SUM(I360:I389)</f>
        <v>0</v>
      </c>
      <c r="J391" s="176">
        <f t="shared" si="31"/>
        <v>0</v>
      </c>
      <c r="K391" s="176">
        <f t="shared" si="31"/>
        <v>0</v>
      </c>
      <c r="L391" s="176">
        <f t="shared" si="31"/>
        <v>0</v>
      </c>
      <c r="M391" s="185">
        <f t="shared" si="31"/>
        <v>0</v>
      </c>
      <c r="N391" s="185">
        <f t="shared" si="31"/>
        <v>0</v>
      </c>
      <c r="O391" s="185">
        <f t="shared" si="31"/>
        <v>0</v>
      </c>
      <c r="P391" s="185">
        <f t="shared" si="31"/>
        <v>0</v>
      </c>
      <c r="Q391" s="27">
        <f>SUM(Q360:Q389)+Q390</f>
        <v>0</v>
      </c>
    </row>
    <row r="392" spans="2:17" ht="12.75" customHeight="1" hidden="1" thickBot="1">
      <c r="B392" s="80"/>
      <c r="C392" s="122">
        <v>2110</v>
      </c>
      <c r="D392" s="122">
        <v>2111</v>
      </c>
      <c r="E392" s="233">
        <v>2210</v>
      </c>
      <c r="F392" s="181">
        <v>2230</v>
      </c>
      <c r="G392" s="181">
        <v>2240</v>
      </c>
      <c r="H392" s="181"/>
      <c r="I392" s="181">
        <v>2271</v>
      </c>
      <c r="J392" s="182">
        <v>2272</v>
      </c>
      <c r="K392" s="182">
        <v>2273</v>
      </c>
      <c r="L392" s="181">
        <v>2274</v>
      </c>
      <c r="M392" s="181">
        <v>2275</v>
      </c>
      <c r="N392" s="181">
        <v>2800</v>
      </c>
      <c r="O392" s="121">
        <v>2730</v>
      </c>
      <c r="P392" s="15">
        <v>2282</v>
      </c>
      <c r="Q392" s="27">
        <f>E391+F391+G391+I391+J391+K391+L391+M391+N391+O391+P391</f>
        <v>0</v>
      </c>
    </row>
    <row r="393" spans="2:17" ht="12.75" customHeight="1" hidden="1">
      <c r="B393" s="63"/>
      <c r="C393" s="63"/>
      <c r="D393" s="63"/>
      <c r="E393" s="189"/>
      <c r="F393" s="189"/>
      <c r="G393" s="189"/>
      <c r="H393" s="189"/>
      <c r="I393" s="189"/>
      <c r="J393" s="299"/>
      <c r="K393" s="299"/>
      <c r="L393" s="189"/>
      <c r="M393" s="189"/>
      <c r="N393" s="189"/>
      <c r="O393" s="299"/>
      <c r="P393" s="299"/>
      <c r="Q393" s="184">
        <f>SUM(E393:P393)</f>
        <v>0</v>
      </c>
    </row>
    <row r="394" spans="2:17" ht="12.75" customHeight="1" hidden="1">
      <c r="B394" s="337" t="s">
        <v>12</v>
      </c>
      <c r="C394" s="88"/>
      <c r="D394" s="88"/>
      <c r="E394" s="410">
        <f aca="true" t="shared" si="32" ref="E394:P394">SUM(E393)</f>
        <v>0</v>
      </c>
      <c r="F394" s="410">
        <f t="shared" si="32"/>
        <v>0</v>
      </c>
      <c r="G394" s="410">
        <f t="shared" si="32"/>
        <v>0</v>
      </c>
      <c r="H394" s="410"/>
      <c r="I394" s="410">
        <f t="shared" si="32"/>
        <v>0</v>
      </c>
      <c r="J394" s="410">
        <f t="shared" si="32"/>
        <v>0</v>
      </c>
      <c r="K394" s="410">
        <f t="shared" si="32"/>
        <v>0</v>
      </c>
      <c r="L394" s="410">
        <f t="shared" si="32"/>
        <v>0</v>
      </c>
      <c r="M394" s="410">
        <f t="shared" si="32"/>
        <v>0</v>
      </c>
      <c r="N394" s="410">
        <f t="shared" si="32"/>
        <v>0</v>
      </c>
      <c r="O394" s="410">
        <f t="shared" si="32"/>
        <v>0</v>
      </c>
      <c r="P394" s="410">
        <f t="shared" si="32"/>
        <v>0</v>
      </c>
      <c r="Q394" s="410">
        <f>SUM(E394:P394)</f>
        <v>0</v>
      </c>
    </row>
    <row r="395" spans="2:17" ht="12.75" customHeight="1" hidden="1">
      <c r="B395" s="64"/>
      <c r="C395" s="64"/>
      <c r="D395" s="64"/>
      <c r="E395" s="64"/>
      <c r="F395" s="64"/>
      <c r="G395" s="64"/>
      <c r="H395" s="64"/>
      <c r="I395" s="64"/>
      <c r="J395" s="64"/>
      <c r="K395" s="64"/>
      <c r="L395" s="64"/>
      <c r="M395" s="64"/>
      <c r="N395" s="64"/>
      <c r="O395" s="64"/>
      <c r="P395" s="64"/>
      <c r="Q395" s="64"/>
    </row>
    <row r="396" spans="2:17" ht="12.75" customHeight="1" hidden="1">
      <c r="B396" s="64"/>
      <c r="C396" s="64"/>
      <c r="D396" s="64"/>
      <c r="E396" s="64"/>
      <c r="F396" s="64"/>
      <c r="G396" s="64"/>
      <c r="H396" s="64"/>
      <c r="I396" s="64"/>
      <c r="J396" s="64"/>
      <c r="K396" s="64"/>
      <c r="L396" s="64"/>
      <c r="M396" s="64"/>
      <c r="N396" s="64"/>
      <c r="O396" s="64"/>
      <c r="P396" s="64"/>
      <c r="Q396" s="64"/>
    </row>
    <row r="397" spans="2:17" ht="12.75" customHeight="1" hidden="1">
      <c r="B397" s="64"/>
      <c r="C397" s="64"/>
      <c r="D397" s="64"/>
      <c r="E397" s="64"/>
      <c r="F397" s="64"/>
      <c r="G397" s="64"/>
      <c r="H397" s="64"/>
      <c r="I397" s="64"/>
      <c r="J397" s="64"/>
      <c r="K397" s="64"/>
      <c r="L397" s="64"/>
      <c r="M397" s="64"/>
      <c r="N397" s="64"/>
      <c r="O397" s="64"/>
      <c r="P397" s="64"/>
      <c r="Q397" s="64"/>
    </row>
    <row r="398" spans="2:17" ht="12.75" customHeight="1" hidden="1">
      <c r="B398" s="64"/>
      <c r="C398" s="64"/>
      <c r="D398" s="64"/>
      <c r="E398" s="64"/>
      <c r="F398" s="64"/>
      <c r="G398" s="64"/>
      <c r="H398" s="64"/>
      <c r="I398" s="64"/>
      <c r="J398" s="64"/>
      <c r="K398" s="64"/>
      <c r="L398" s="64"/>
      <c r="M398" s="64"/>
      <c r="N398" s="64"/>
      <c r="O398" s="64"/>
      <c r="P398" s="64"/>
      <c r="Q398" s="64"/>
    </row>
    <row r="399" spans="2:17" ht="12.75" customHeight="1" hidden="1">
      <c r="B399" s="64"/>
      <c r="C399" s="64"/>
      <c r="D399" s="64"/>
      <c r="E399" s="64"/>
      <c r="F399" s="64"/>
      <c r="G399" s="64"/>
      <c r="H399" s="64"/>
      <c r="I399" s="64"/>
      <c r="J399" s="64"/>
      <c r="K399" s="64"/>
      <c r="L399" s="64"/>
      <c r="M399" s="64"/>
      <c r="N399" s="64"/>
      <c r="O399" s="64"/>
      <c r="P399" s="64"/>
      <c r="Q399" s="64"/>
    </row>
    <row r="400" spans="2:17" ht="12.75" customHeight="1" hidden="1" thickBot="1">
      <c r="B400" s="436" t="s">
        <v>65</v>
      </c>
      <c r="C400" s="436"/>
      <c r="D400" s="436"/>
      <c r="E400" s="436"/>
      <c r="F400" s="436"/>
      <c r="G400" s="436"/>
      <c r="H400" s="436"/>
      <c r="I400" s="436"/>
      <c r="J400" s="436"/>
      <c r="K400" s="436"/>
      <c r="L400" s="436"/>
      <c r="M400" s="436"/>
      <c r="N400" s="436"/>
      <c r="O400" s="436"/>
      <c r="P400" s="436"/>
      <c r="Q400" s="436"/>
    </row>
    <row r="401" spans="2:17" ht="12.75" customHeight="1" hidden="1" thickBot="1">
      <c r="B401" s="18" t="s">
        <v>36</v>
      </c>
      <c r="C401" s="14">
        <v>2110</v>
      </c>
      <c r="D401" s="14">
        <v>2111</v>
      </c>
      <c r="E401" s="207">
        <v>2210</v>
      </c>
      <c r="F401" s="120">
        <v>2230</v>
      </c>
      <c r="G401" s="120">
        <v>2240</v>
      </c>
      <c r="H401" s="120"/>
      <c r="I401" s="120">
        <v>2271</v>
      </c>
      <c r="J401" s="15">
        <v>2272</v>
      </c>
      <c r="K401" s="15">
        <v>2273</v>
      </c>
      <c r="L401" s="121">
        <v>2274</v>
      </c>
      <c r="M401" s="121">
        <v>2275</v>
      </c>
      <c r="N401" s="121">
        <v>2800</v>
      </c>
      <c r="O401" s="121">
        <v>2730</v>
      </c>
      <c r="P401" s="15">
        <v>2282</v>
      </c>
      <c r="Q401" s="226" t="s">
        <v>35</v>
      </c>
    </row>
    <row r="402" spans="2:17" ht="12.75" customHeight="1" hidden="1">
      <c r="B402" s="21" t="s">
        <v>0</v>
      </c>
      <c r="C402" s="43"/>
      <c r="D402" s="44"/>
      <c r="E402" s="263"/>
      <c r="F402" s="265"/>
      <c r="G402" s="265"/>
      <c r="H402" s="265"/>
      <c r="I402" s="265"/>
      <c r="J402" s="303"/>
      <c r="K402" s="267"/>
      <c r="L402" s="304"/>
      <c r="M402" s="267"/>
      <c r="N402" s="267"/>
      <c r="O402" s="419"/>
      <c r="P402" s="412"/>
      <c r="Q402" s="31">
        <f>SUM(E402:P402)</f>
        <v>0</v>
      </c>
    </row>
    <row r="403" spans="2:17" ht="12.75" customHeight="1" hidden="1">
      <c r="B403" s="22" t="s">
        <v>1</v>
      </c>
      <c r="C403" s="17"/>
      <c r="D403" s="3"/>
      <c r="E403" s="255"/>
      <c r="F403" s="279"/>
      <c r="G403" s="251"/>
      <c r="H403" s="251"/>
      <c r="I403" s="285"/>
      <c r="J403" s="282"/>
      <c r="K403" s="273"/>
      <c r="L403" s="273"/>
      <c r="M403" s="275"/>
      <c r="N403" s="275"/>
      <c r="O403" s="413"/>
      <c r="P403" s="420"/>
      <c r="Q403" s="37">
        <f>SUM(E403:P403)</f>
        <v>0</v>
      </c>
    </row>
    <row r="404" spans="2:17" ht="12.75" customHeight="1" hidden="1">
      <c r="B404" s="22" t="s">
        <v>2</v>
      </c>
      <c r="C404" s="17"/>
      <c r="D404" s="3"/>
      <c r="E404" s="255"/>
      <c r="F404" s="279"/>
      <c r="G404" s="251"/>
      <c r="H404" s="251"/>
      <c r="I404" s="279"/>
      <c r="J404" s="282"/>
      <c r="K404" s="273"/>
      <c r="L404" s="273"/>
      <c r="M404" s="273"/>
      <c r="N404" s="275"/>
      <c r="O404" s="413"/>
      <c r="P404" s="420"/>
      <c r="Q404" s="37">
        <f>SUM(E404:P404)</f>
        <v>0</v>
      </c>
    </row>
    <row r="405" spans="2:17" ht="12.75" customHeight="1" hidden="1">
      <c r="B405" s="22" t="s">
        <v>3</v>
      </c>
      <c r="C405" s="17"/>
      <c r="D405" s="3"/>
      <c r="E405" s="255"/>
      <c r="F405" s="279"/>
      <c r="G405" s="251"/>
      <c r="H405" s="251"/>
      <c r="I405" s="279"/>
      <c r="J405" s="282"/>
      <c r="K405" s="273"/>
      <c r="L405" s="273"/>
      <c r="M405" s="275"/>
      <c r="N405" s="275"/>
      <c r="O405" s="413"/>
      <c r="P405" s="420"/>
      <c r="Q405" s="37">
        <f>SUM(E405:P405)</f>
        <v>0</v>
      </c>
    </row>
    <row r="406" spans="2:17" ht="12.75" customHeight="1" hidden="1">
      <c r="B406" s="22" t="s">
        <v>4</v>
      </c>
      <c r="C406" s="17"/>
      <c r="D406" s="3"/>
      <c r="E406" s="255"/>
      <c r="F406" s="279"/>
      <c r="G406" s="251"/>
      <c r="H406" s="251"/>
      <c r="I406" s="279"/>
      <c r="J406" s="282"/>
      <c r="K406" s="273"/>
      <c r="L406" s="273"/>
      <c r="M406" s="273"/>
      <c r="N406" s="273"/>
      <c r="O406" s="413"/>
      <c r="P406" s="420"/>
      <c r="Q406" s="37">
        <f>SUM(E406:P406)</f>
        <v>0</v>
      </c>
    </row>
    <row r="407" spans="2:17" ht="12.75" customHeight="1" hidden="1">
      <c r="B407" s="22" t="s">
        <v>5</v>
      </c>
      <c r="C407" s="17"/>
      <c r="D407" s="3"/>
      <c r="E407" s="255"/>
      <c r="F407" s="279"/>
      <c r="G407" s="279"/>
      <c r="H407" s="279"/>
      <c r="I407" s="279"/>
      <c r="J407" s="273"/>
      <c r="K407" s="273"/>
      <c r="L407" s="273"/>
      <c r="M407" s="275"/>
      <c r="N407" s="273"/>
      <c r="O407" s="413"/>
      <c r="P407" s="420"/>
      <c r="Q407" s="37">
        <f aca="true" t="shared" si="33" ref="Q407:Q415">SUM(E407:P407)</f>
        <v>0</v>
      </c>
    </row>
    <row r="408" spans="2:17" ht="12.75" customHeight="1" hidden="1">
      <c r="B408" s="22" t="s">
        <v>6</v>
      </c>
      <c r="C408" s="17"/>
      <c r="D408" s="3"/>
      <c r="E408" s="255"/>
      <c r="F408" s="279"/>
      <c r="G408" s="251"/>
      <c r="H408" s="251"/>
      <c r="I408" s="279"/>
      <c r="J408" s="273"/>
      <c r="K408" s="273"/>
      <c r="L408" s="282"/>
      <c r="M408" s="273"/>
      <c r="N408" s="275"/>
      <c r="O408" s="413"/>
      <c r="P408" s="420"/>
      <c r="Q408" s="37">
        <f t="shared" si="33"/>
        <v>0</v>
      </c>
    </row>
    <row r="409" spans="2:17" ht="12.75" customHeight="1" hidden="1">
      <c r="B409" s="22" t="s">
        <v>7</v>
      </c>
      <c r="C409" s="17"/>
      <c r="D409" s="3"/>
      <c r="E409" s="255"/>
      <c r="F409" s="279"/>
      <c r="G409" s="251"/>
      <c r="H409" s="251"/>
      <c r="I409" s="285"/>
      <c r="J409" s="273"/>
      <c r="K409" s="273"/>
      <c r="L409" s="282"/>
      <c r="M409" s="282"/>
      <c r="N409" s="272"/>
      <c r="O409" s="413"/>
      <c r="P409" s="420"/>
      <c r="Q409" s="37">
        <f t="shared" si="33"/>
        <v>0</v>
      </c>
    </row>
    <row r="410" spans="2:17" ht="12.75" customHeight="1" hidden="1">
      <c r="B410" s="22" t="s">
        <v>8</v>
      </c>
      <c r="C410" s="17"/>
      <c r="D410" s="3"/>
      <c r="E410" s="255"/>
      <c r="F410" s="279"/>
      <c r="G410" s="251"/>
      <c r="H410" s="251"/>
      <c r="I410" s="279"/>
      <c r="J410" s="282"/>
      <c r="K410" s="273"/>
      <c r="L410" s="282"/>
      <c r="M410" s="273"/>
      <c r="N410" s="275"/>
      <c r="O410" s="413"/>
      <c r="P410" s="420"/>
      <c r="Q410" s="37">
        <f t="shared" si="33"/>
        <v>0</v>
      </c>
    </row>
    <row r="411" spans="2:17" ht="12.75" customHeight="1" hidden="1">
      <c r="B411" s="22" t="s">
        <v>9</v>
      </c>
      <c r="C411" s="17"/>
      <c r="D411" s="3"/>
      <c r="E411" s="255"/>
      <c r="F411" s="279"/>
      <c r="G411" s="251"/>
      <c r="H411" s="251"/>
      <c r="I411" s="279"/>
      <c r="J411" s="282"/>
      <c r="K411" s="273"/>
      <c r="L411" s="273"/>
      <c r="M411" s="273"/>
      <c r="N411" s="275"/>
      <c r="O411" s="413"/>
      <c r="P411" s="420"/>
      <c r="Q411" s="37">
        <f t="shared" si="33"/>
        <v>0</v>
      </c>
    </row>
    <row r="412" spans="2:17" ht="12.75" customHeight="1" hidden="1">
      <c r="B412" s="22" t="s">
        <v>10</v>
      </c>
      <c r="C412" s="17"/>
      <c r="D412" s="3"/>
      <c r="E412" s="255"/>
      <c r="F412" s="279"/>
      <c r="G412" s="251"/>
      <c r="H412" s="251"/>
      <c r="I412" s="285"/>
      <c r="J412" s="282"/>
      <c r="K412" s="273"/>
      <c r="L412" s="282"/>
      <c r="M412" s="282"/>
      <c r="N412" s="272"/>
      <c r="O412" s="413"/>
      <c r="P412" s="420"/>
      <c r="Q412" s="37">
        <f t="shared" si="33"/>
        <v>0</v>
      </c>
    </row>
    <row r="413" spans="2:17" ht="12.75" customHeight="1" hidden="1">
      <c r="B413" s="22" t="s">
        <v>11</v>
      </c>
      <c r="C413" s="17"/>
      <c r="D413" s="3"/>
      <c r="E413" s="255"/>
      <c r="F413" s="279"/>
      <c r="G413" s="251"/>
      <c r="H413" s="251"/>
      <c r="I413" s="279"/>
      <c r="J413" s="273"/>
      <c r="K413" s="273"/>
      <c r="L413" s="273"/>
      <c r="M413" s="282"/>
      <c r="N413" s="272"/>
      <c r="O413" s="413"/>
      <c r="P413" s="420"/>
      <c r="Q413" s="37">
        <f t="shared" si="33"/>
        <v>0</v>
      </c>
    </row>
    <row r="414" spans="2:17" ht="12.75" customHeight="1" hidden="1">
      <c r="B414" s="22" t="s">
        <v>13</v>
      </c>
      <c r="C414" s="17"/>
      <c r="D414" s="3"/>
      <c r="E414" s="255"/>
      <c r="F414" s="279"/>
      <c r="G414" s="251"/>
      <c r="H414" s="251"/>
      <c r="I414" s="285"/>
      <c r="J414" s="282"/>
      <c r="K414" s="273"/>
      <c r="L414" s="282"/>
      <c r="M414" s="282"/>
      <c r="N414" s="272"/>
      <c r="O414" s="413"/>
      <c r="P414" s="420"/>
      <c r="Q414" s="37">
        <f t="shared" si="33"/>
        <v>0</v>
      </c>
    </row>
    <row r="415" spans="2:17" ht="12.75" customHeight="1" hidden="1">
      <c r="B415" s="22" t="s">
        <v>14</v>
      </c>
      <c r="C415" s="17"/>
      <c r="D415" s="3"/>
      <c r="E415" s="255"/>
      <c r="F415" s="279"/>
      <c r="G415" s="251"/>
      <c r="H415" s="251"/>
      <c r="I415" s="279"/>
      <c r="J415" s="282"/>
      <c r="K415" s="273"/>
      <c r="L415" s="282"/>
      <c r="M415" s="282"/>
      <c r="N415" s="272"/>
      <c r="O415" s="413"/>
      <c r="P415" s="420"/>
      <c r="Q415" s="37">
        <f t="shared" si="33"/>
        <v>0</v>
      </c>
    </row>
    <row r="416" spans="2:17" ht="12.75" customHeight="1" hidden="1">
      <c r="B416" s="22" t="s">
        <v>15</v>
      </c>
      <c r="C416" s="17"/>
      <c r="D416" s="3"/>
      <c r="E416" s="255"/>
      <c r="F416" s="279"/>
      <c r="G416" s="251"/>
      <c r="H416" s="251"/>
      <c r="I416" s="279"/>
      <c r="J416" s="282"/>
      <c r="K416" s="273"/>
      <c r="L416" s="282"/>
      <c r="M416" s="282"/>
      <c r="N416" s="272"/>
      <c r="O416" s="413"/>
      <c r="P416" s="420"/>
      <c r="Q416" s="37">
        <f aca="true" t="shared" si="34" ref="Q416:Q432">SUM(E416:P416)</f>
        <v>0</v>
      </c>
    </row>
    <row r="417" spans="2:17" ht="12.75" customHeight="1" hidden="1">
      <c r="B417" s="22" t="s">
        <v>16</v>
      </c>
      <c r="C417" s="17"/>
      <c r="D417" s="3"/>
      <c r="E417" s="255"/>
      <c r="F417" s="279"/>
      <c r="G417" s="251"/>
      <c r="H417" s="251"/>
      <c r="I417" s="279"/>
      <c r="J417" s="282"/>
      <c r="K417" s="273"/>
      <c r="L417" s="282"/>
      <c r="M417" s="273"/>
      <c r="N417" s="275"/>
      <c r="O417" s="413"/>
      <c r="P417" s="420"/>
      <c r="Q417" s="37">
        <f t="shared" si="34"/>
        <v>0</v>
      </c>
    </row>
    <row r="418" spans="2:17" ht="12.75" customHeight="1" hidden="1">
      <c r="B418" s="22" t="s">
        <v>17</v>
      </c>
      <c r="C418" s="17"/>
      <c r="D418" s="3"/>
      <c r="E418" s="255"/>
      <c r="F418" s="279"/>
      <c r="G418" s="251"/>
      <c r="H418" s="251"/>
      <c r="I418" s="279"/>
      <c r="J418" s="282"/>
      <c r="K418" s="273"/>
      <c r="L418" s="282"/>
      <c r="M418" s="282"/>
      <c r="N418" s="272"/>
      <c r="O418" s="413"/>
      <c r="P418" s="420"/>
      <c r="Q418" s="37">
        <f t="shared" si="34"/>
        <v>0</v>
      </c>
    </row>
    <row r="419" spans="2:17" ht="12.75" customHeight="1" hidden="1">
      <c r="B419" s="22" t="s">
        <v>18</v>
      </c>
      <c r="C419" s="17"/>
      <c r="D419" s="3"/>
      <c r="E419" s="255"/>
      <c r="F419" s="279"/>
      <c r="G419" s="251"/>
      <c r="H419" s="251"/>
      <c r="I419" s="279"/>
      <c r="J419" s="282"/>
      <c r="K419" s="273"/>
      <c r="L419" s="273"/>
      <c r="M419" s="273"/>
      <c r="N419" s="275"/>
      <c r="O419" s="413"/>
      <c r="P419" s="306"/>
      <c r="Q419" s="37">
        <f t="shared" si="34"/>
        <v>0</v>
      </c>
    </row>
    <row r="420" spans="2:17" ht="12.75" customHeight="1" hidden="1">
      <c r="B420" s="22" t="s">
        <v>19</v>
      </c>
      <c r="C420" s="17"/>
      <c r="D420" s="3"/>
      <c r="E420" s="255"/>
      <c r="F420" s="279"/>
      <c r="G420" s="251"/>
      <c r="H420" s="251"/>
      <c r="I420" s="279"/>
      <c r="J420" s="282"/>
      <c r="K420" s="273"/>
      <c r="L420" s="282"/>
      <c r="M420" s="273"/>
      <c r="N420" s="273"/>
      <c r="O420" s="413"/>
      <c r="P420" s="306"/>
      <c r="Q420" s="37">
        <f t="shared" si="34"/>
        <v>0</v>
      </c>
    </row>
    <row r="421" spans="2:17" ht="12.75" customHeight="1" hidden="1">
      <c r="B421" s="22" t="s">
        <v>20</v>
      </c>
      <c r="C421" s="58"/>
      <c r="D421" s="11"/>
      <c r="E421" s="255"/>
      <c r="F421" s="279"/>
      <c r="G421" s="251"/>
      <c r="H421" s="251"/>
      <c r="I421" s="279"/>
      <c r="J421" s="282"/>
      <c r="K421" s="273"/>
      <c r="L421" s="282"/>
      <c r="M421" s="273"/>
      <c r="N421" s="273"/>
      <c r="O421" s="306"/>
      <c r="P421" s="306"/>
      <c r="Q421" s="37">
        <f t="shared" si="34"/>
        <v>0</v>
      </c>
    </row>
    <row r="422" spans="2:18" ht="12.75" customHeight="1" hidden="1">
      <c r="B422" s="22" t="s">
        <v>21</v>
      </c>
      <c r="C422" s="58"/>
      <c r="D422" s="10"/>
      <c r="E422" s="255"/>
      <c r="F422" s="279"/>
      <c r="G422" s="251"/>
      <c r="H422" s="251"/>
      <c r="I422" s="279"/>
      <c r="J422" s="273"/>
      <c r="K422" s="273"/>
      <c r="L422" s="282"/>
      <c r="M422" s="273"/>
      <c r="N422" s="273"/>
      <c r="O422" s="306"/>
      <c r="P422" s="306"/>
      <c r="Q422" s="37">
        <f t="shared" si="34"/>
        <v>0</v>
      </c>
      <c r="R422" s="416">
        <f>K404+K413+K417+K423+K425</f>
        <v>0</v>
      </c>
    </row>
    <row r="423" spans="2:17" ht="12.75" customHeight="1" hidden="1">
      <c r="B423" s="22" t="s">
        <v>22</v>
      </c>
      <c r="C423" s="58"/>
      <c r="D423" s="10"/>
      <c r="E423" s="255"/>
      <c r="F423" s="279"/>
      <c r="G423" s="251"/>
      <c r="H423" s="251"/>
      <c r="I423" s="279"/>
      <c r="J423" s="282"/>
      <c r="K423" s="273"/>
      <c r="L423" s="282"/>
      <c r="M423" s="273"/>
      <c r="N423" s="273"/>
      <c r="O423" s="306"/>
      <c r="P423" s="306"/>
      <c r="Q423" s="37">
        <f t="shared" si="34"/>
        <v>0</v>
      </c>
    </row>
    <row r="424" spans="2:17" ht="12.75" customHeight="1" hidden="1">
      <c r="B424" s="22" t="s">
        <v>23</v>
      </c>
      <c r="C424" s="58"/>
      <c r="D424" s="10"/>
      <c r="E424" s="255"/>
      <c r="F424" s="279"/>
      <c r="G424" s="251"/>
      <c r="H424" s="251"/>
      <c r="I424" s="285"/>
      <c r="J424" s="282"/>
      <c r="K424" s="273"/>
      <c r="L424" s="273"/>
      <c r="M424" s="282"/>
      <c r="N424" s="272"/>
      <c r="O424" s="306"/>
      <c r="P424" s="306"/>
      <c r="Q424" s="37">
        <f t="shared" si="34"/>
        <v>0</v>
      </c>
    </row>
    <row r="425" spans="2:17" ht="12.75" customHeight="1" hidden="1">
      <c r="B425" s="22" t="s">
        <v>25</v>
      </c>
      <c r="C425" s="58"/>
      <c r="D425" s="10"/>
      <c r="E425" s="255"/>
      <c r="F425" s="279"/>
      <c r="G425" s="286"/>
      <c r="H425" s="286"/>
      <c r="I425" s="285"/>
      <c r="J425" s="282"/>
      <c r="K425" s="273"/>
      <c r="L425" s="272"/>
      <c r="M425" s="282"/>
      <c r="N425" s="272"/>
      <c r="O425" s="306"/>
      <c r="P425" s="306"/>
      <c r="Q425" s="37">
        <f t="shared" si="34"/>
        <v>0</v>
      </c>
    </row>
    <row r="426" spans="2:17" ht="12.75" customHeight="1" hidden="1">
      <c r="B426" s="22" t="s">
        <v>26</v>
      </c>
      <c r="C426" s="58"/>
      <c r="D426" s="10"/>
      <c r="E426" s="255"/>
      <c r="F426" s="279"/>
      <c r="G426" s="285"/>
      <c r="H426" s="285"/>
      <c r="I426" s="286"/>
      <c r="J426" s="273"/>
      <c r="K426" s="273"/>
      <c r="L426" s="272"/>
      <c r="M426" s="282"/>
      <c r="N426" s="272"/>
      <c r="O426" s="306"/>
      <c r="P426" s="306"/>
      <c r="Q426" s="37">
        <f t="shared" si="34"/>
        <v>0</v>
      </c>
    </row>
    <row r="427" spans="2:17" ht="12.75" customHeight="1" hidden="1">
      <c r="B427" s="22" t="s">
        <v>29</v>
      </c>
      <c r="C427" s="58"/>
      <c r="D427" s="10"/>
      <c r="E427" s="255"/>
      <c r="F427" s="279"/>
      <c r="G427" s="286"/>
      <c r="H427" s="286"/>
      <c r="I427" s="286"/>
      <c r="J427" s="272"/>
      <c r="K427" s="273"/>
      <c r="L427" s="272"/>
      <c r="M427" s="282"/>
      <c r="N427" s="272"/>
      <c r="O427" s="306"/>
      <c r="P427" s="306"/>
      <c r="Q427" s="37">
        <f t="shared" si="34"/>
        <v>0</v>
      </c>
    </row>
    <row r="428" spans="2:17" ht="12.75" customHeight="1" hidden="1">
      <c r="B428" s="22" t="s">
        <v>31</v>
      </c>
      <c r="C428" s="58"/>
      <c r="D428" s="10"/>
      <c r="E428" s="255"/>
      <c r="F428" s="279"/>
      <c r="G428" s="286"/>
      <c r="H428" s="286"/>
      <c r="I428" s="286"/>
      <c r="J428" s="272"/>
      <c r="K428" s="273"/>
      <c r="L428" s="282"/>
      <c r="M428" s="282"/>
      <c r="N428" s="272"/>
      <c r="O428" s="306"/>
      <c r="P428" s="306"/>
      <c r="Q428" s="37">
        <f t="shared" si="34"/>
        <v>0</v>
      </c>
    </row>
    <row r="429" spans="2:17" ht="12.75" customHeight="1" hidden="1">
      <c r="B429" s="22" t="s">
        <v>32</v>
      </c>
      <c r="C429" s="58"/>
      <c r="D429" s="10"/>
      <c r="E429" s="255"/>
      <c r="F429" s="279"/>
      <c r="G429" s="286"/>
      <c r="H429" s="286"/>
      <c r="I429" s="286"/>
      <c r="J429" s="272"/>
      <c r="K429" s="273"/>
      <c r="L429" s="272"/>
      <c r="M429" s="282"/>
      <c r="N429" s="272"/>
      <c r="O429" s="306"/>
      <c r="P429" s="306"/>
      <c r="Q429" s="37">
        <f t="shared" si="34"/>
        <v>0</v>
      </c>
    </row>
    <row r="430" spans="2:17" ht="12.75" customHeight="1" hidden="1">
      <c r="B430" s="23" t="s">
        <v>34</v>
      </c>
      <c r="C430" s="58"/>
      <c r="D430" s="10"/>
      <c r="E430" s="255"/>
      <c r="F430" s="279"/>
      <c r="G430" s="310"/>
      <c r="H430" s="310"/>
      <c r="I430" s="310"/>
      <c r="J430" s="272"/>
      <c r="K430" s="273"/>
      <c r="L430" s="272"/>
      <c r="M430" s="282"/>
      <c r="N430" s="272"/>
      <c r="O430" s="306"/>
      <c r="P430" s="306"/>
      <c r="Q430" s="37">
        <f t="shared" si="34"/>
        <v>0</v>
      </c>
    </row>
    <row r="431" spans="2:17" ht="12.75" customHeight="1" hidden="1">
      <c r="B431" s="22" t="s">
        <v>46</v>
      </c>
      <c r="C431" s="58"/>
      <c r="D431" s="10"/>
      <c r="E431" s="285"/>
      <c r="F431" s="279"/>
      <c r="G431" s="279"/>
      <c r="H431" s="279"/>
      <c r="I431" s="311"/>
      <c r="J431" s="272"/>
      <c r="K431" s="273"/>
      <c r="L431" s="311"/>
      <c r="M431" s="282"/>
      <c r="N431" s="272"/>
      <c r="O431" s="306"/>
      <c r="P431" s="306"/>
      <c r="Q431" s="37">
        <f t="shared" si="34"/>
        <v>0</v>
      </c>
    </row>
    <row r="432" spans="2:17" ht="12.75" customHeight="1" hidden="1" thickBot="1">
      <c r="B432" s="24" t="s">
        <v>38</v>
      </c>
      <c r="C432" s="78"/>
      <c r="D432" s="52"/>
      <c r="E432" s="290"/>
      <c r="F432" s="290"/>
      <c r="G432" s="418"/>
      <c r="H432" s="418"/>
      <c r="I432" s="290"/>
      <c r="J432" s="294"/>
      <c r="K432" s="295"/>
      <c r="L432" s="313"/>
      <c r="M432" s="294"/>
      <c r="N432" s="294"/>
      <c r="O432" s="314"/>
      <c r="P432" s="314"/>
      <c r="Q432" s="37">
        <f t="shared" si="34"/>
        <v>0</v>
      </c>
    </row>
    <row r="433" spans="2:17" ht="12.75" customHeight="1" hidden="1" thickBot="1">
      <c r="B433" s="32" t="s">
        <v>12</v>
      </c>
      <c r="C433" s="115">
        <f>SUM(C421:C432)</f>
        <v>0</v>
      </c>
      <c r="D433" s="115">
        <f>SUM(D421:D432)</f>
        <v>0</v>
      </c>
      <c r="E433" s="298">
        <f>SUM(E402:E431)+E432</f>
        <v>0</v>
      </c>
      <c r="F433" s="176">
        <f aca="true" t="shared" si="35" ref="F433:P433">SUM(F402:F431)</f>
        <v>0</v>
      </c>
      <c r="G433" s="176">
        <f>SUM(G402:G431)+G432</f>
        <v>0</v>
      </c>
      <c r="H433" s="176"/>
      <c r="I433" s="176">
        <f>SUM(I402:I431)+I432</f>
        <v>0</v>
      </c>
      <c r="J433" s="176">
        <f t="shared" si="35"/>
        <v>0</v>
      </c>
      <c r="K433" s="176">
        <f t="shared" si="35"/>
        <v>0</v>
      </c>
      <c r="L433" s="176">
        <f t="shared" si="35"/>
        <v>0</v>
      </c>
      <c r="M433" s="185">
        <f t="shared" si="35"/>
        <v>0</v>
      </c>
      <c r="N433" s="185">
        <f t="shared" si="35"/>
        <v>0</v>
      </c>
      <c r="O433" s="185">
        <f t="shared" si="35"/>
        <v>0</v>
      </c>
      <c r="P433" s="185">
        <f t="shared" si="35"/>
        <v>0</v>
      </c>
      <c r="Q433" s="129">
        <f>SUM(Q402:Q431)+Q432</f>
        <v>0</v>
      </c>
    </row>
    <row r="434" spans="2:17" ht="12.75" customHeight="1" hidden="1" thickBot="1">
      <c r="B434" s="80"/>
      <c r="C434" s="122">
        <v>2110</v>
      </c>
      <c r="D434" s="122">
        <v>2111</v>
      </c>
      <c r="E434" s="233">
        <v>2210</v>
      </c>
      <c r="F434" s="181">
        <v>2230</v>
      </c>
      <c r="G434" s="181">
        <v>2240</v>
      </c>
      <c r="H434" s="181"/>
      <c r="I434" s="181">
        <v>2271</v>
      </c>
      <c r="J434" s="182">
        <v>2272</v>
      </c>
      <c r="K434" s="182">
        <v>2273</v>
      </c>
      <c r="L434" s="181">
        <v>2274</v>
      </c>
      <c r="M434" s="181">
        <v>2275</v>
      </c>
      <c r="N434" s="181">
        <v>2800</v>
      </c>
      <c r="O434" s="121">
        <v>2730</v>
      </c>
      <c r="P434" s="15">
        <v>2282</v>
      </c>
      <c r="Q434" s="129">
        <f>E433+F433+G433+I433+J433+K433+L433+M433+N433+O433+P433</f>
        <v>0</v>
      </c>
    </row>
    <row r="435" spans="2:17" ht="12.75" customHeight="1" hidden="1">
      <c r="B435" s="63"/>
      <c r="C435" s="63"/>
      <c r="D435" s="63"/>
      <c r="E435" s="189"/>
      <c r="F435" s="189"/>
      <c r="G435" s="189"/>
      <c r="H435" s="189"/>
      <c r="I435" s="189"/>
      <c r="J435" s="299"/>
      <c r="K435" s="299"/>
      <c r="L435" s="189"/>
      <c r="M435" s="189"/>
      <c r="N435" s="189"/>
      <c r="O435" s="299"/>
      <c r="P435" s="299"/>
      <c r="Q435" s="184">
        <f>SUM(E435:P435)</f>
        <v>0</v>
      </c>
    </row>
    <row r="436" spans="2:17" ht="12.75" customHeight="1" hidden="1">
      <c r="B436" s="337" t="s">
        <v>12</v>
      </c>
      <c r="C436" s="88"/>
      <c r="D436" s="88"/>
      <c r="E436" s="410">
        <f aca="true" t="shared" si="36" ref="E436:P436">SUM(E435)</f>
        <v>0</v>
      </c>
      <c r="F436" s="410">
        <f t="shared" si="36"/>
        <v>0</v>
      </c>
      <c r="G436" s="410">
        <f t="shared" si="36"/>
        <v>0</v>
      </c>
      <c r="H436" s="410"/>
      <c r="I436" s="410">
        <f t="shared" si="36"/>
        <v>0</v>
      </c>
      <c r="J436" s="410">
        <f t="shared" si="36"/>
        <v>0</v>
      </c>
      <c r="K436" s="410">
        <f t="shared" si="36"/>
        <v>0</v>
      </c>
      <c r="L436" s="410">
        <f t="shared" si="36"/>
        <v>0</v>
      </c>
      <c r="M436" s="410">
        <f t="shared" si="36"/>
        <v>0</v>
      </c>
      <c r="N436" s="410">
        <f t="shared" si="36"/>
        <v>0</v>
      </c>
      <c r="O436" s="410">
        <f t="shared" si="36"/>
        <v>0</v>
      </c>
      <c r="P436" s="410">
        <f t="shared" si="36"/>
        <v>0</v>
      </c>
      <c r="Q436" s="410">
        <f>SUM(E436:P436)</f>
        <v>0</v>
      </c>
    </row>
    <row r="437" spans="2:17" ht="12.75" customHeight="1" hidden="1">
      <c r="B437" s="64"/>
      <c r="C437" s="64"/>
      <c r="D437" s="64"/>
      <c r="E437" s="64"/>
      <c r="F437" s="64"/>
      <c r="G437" s="64"/>
      <c r="H437" s="64"/>
      <c r="I437" s="64"/>
      <c r="J437" s="64"/>
      <c r="K437" s="64"/>
      <c r="L437" s="64"/>
      <c r="M437" s="64"/>
      <c r="N437" s="64"/>
      <c r="O437" s="64"/>
      <c r="P437" s="64"/>
      <c r="Q437" s="64"/>
    </row>
    <row r="438" spans="2:17" ht="12.75" customHeight="1" hidden="1">
      <c r="B438" s="64"/>
      <c r="C438" s="64"/>
      <c r="D438" s="64"/>
      <c r="E438" s="64"/>
      <c r="F438" s="64"/>
      <c r="G438" s="64"/>
      <c r="H438" s="64"/>
      <c r="I438" s="64"/>
      <c r="J438" s="64"/>
      <c r="K438" s="64"/>
      <c r="L438" s="64"/>
      <c r="M438" s="64"/>
      <c r="N438" s="64"/>
      <c r="O438" s="64"/>
      <c r="P438" s="64"/>
      <c r="Q438" s="64"/>
    </row>
    <row r="439" spans="2:17" ht="12.75" customHeight="1" hidden="1">
      <c r="B439" s="64"/>
      <c r="C439" s="64"/>
      <c r="D439" s="64"/>
      <c r="E439" s="64"/>
      <c r="F439" s="64"/>
      <c r="G439" s="64"/>
      <c r="H439" s="64"/>
      <c r="I439" s="64"/>
      <c r="J439" s="64"/>
      <c r="K439" s="64"/>
      <c r="L439" s="64"/>
      <c r="M439" s="64"/>
      <c r="N439" s="64"/>
      <c r="O439" s="64"/>
      <c r="P439" s="64"/>
      <c r="Q439" s="64"/>
    </row>
    <row r="440" spans="2:17" ht="12.75" customHeight="1" hidden="1">
      <c r="B440" s="64"/>
      <c r="C440" s="64"/>
      <c r="D440" s="64"/>
      <c r="E440" s="64"/>
      <c r="F440" s="64"/>
      <c r="G440" s="64"/>
      <c r="H440" s="64"/>
      <c r="I440" s="64"/>
      <c r="J440" s="64"/>
      <c r="K440" s="64"/>
      <c r="L440" s="64"/>
      <c r="M440" s="64"/>
      <c r="N440" s="64"/>
      <c r="O440" s="64"/>
      <c r="P440" s="64"/>
      <c r="Q440" s="64"/>
    </row>
    <row r="441" spans="2:17" ht="12.75" customHeight="1" hidden="1" thickBot="1">
      <c r="B441" s="436" t="s">
        <v>66</v>
      </c>
      <c r="C441" s="436"/>
      <c r="D441" s="436"/>
      <c r="E441" s="436"/>
      <c r="F441" s="436"/>
      <c r="G441" s="436"/>
      <c r="H441" s="436"/>
      <c r="I441" s="436"/>
      <c r="J441" s="436"/>
      <c r="K441" s="436"/>
      <c r="L441" s="436"/>
      <c r="M441" s="436"/>
      <c r="N441" s="436"/>
      <c r="O441" s="436"/>
      <c r="P441" s="436"/>
      <c r="Q441" s="436"/>
    </row>
    <row r="442" spans="2:17" ht="12.75" customHeight="1" hidden="1" thickBot="1">
      <c r="B442" s="25" t="s">
        <v>36</v>
      </c>
      <c r="C442" s="206">
        <v>2110</v>
      </c>
      <c r="D442" s="206">
        <v>2111</v>
      </c>
      <c r="E442" s="207">
        <v>2210</v>
      </c>
      <c r="F442" s="120">
        <v>2230</v>
      </c>
      <c r="G442" s="120">
        <v>2240</v>
      </c>
      <c r="H442" s="120"/>
      <c r="I442" s="120">
        <v>2271</v>
      </c>
      <c r="J442" s="15">
        <v>2272</v>
      </c>
      <c r="K442" s="15">
        <v>2273</v>
      </c>
      <c r="L442" s="121">
        <v>2274</v>
      </c>
      <c r="M442" s="121">
        <v>2275</v>
      </c>
      <c r="N442" s="121">
        <v>2800</v>
      </c>
      <c r="O442" s="121">
        <v>2730</v>
      </c>
      <c r="P442" s="15">
        <v>2282</v>
      </c>
      <c r="Q442" s="226" t="s">
        <v>35</v>
      </c>
    </row>
    <row r="443" spans="2:17" ht="12.75" customHeight="1" hidden="1">
      <c r="B443" s="21" t="s">
        <v>0</v>
      </c>
      <c r="C443" s="43"/>
      <c r="D443" s="44"/>
      <c r="E443" s="279"/>
      <c r="F443" s="279"/>
      <c r="G443" s="279"/>
      <c r="H443" s="279"/>
      <c r="I443" s="279"/>
      <c r="J443" s="303"/>
      <c r="K443" s="267"/>
      <c r="L443" s="266"/>
      <c r="M443" s="421"/>
      <c r="N443" s="421"/>
      <c r="O443" s="268"/>
      <c r="P443" s="422"/>
      <c r="Q443" s="31">
        <f>SUM(E443:P443)</f>
        <v>0</v>
      </c>
    </row>
    <row r="444" spans="2:17" ht="12.75" customHeight="1" hidden="1">
      <c r="B444" s="22" t="s">
        <v>1</v>
      </c>
      <c r="C444" s="17"/>
      <c r="D444" s="3"/>
      <c r="E444" s="279"/>
      <c r="F444" s="279"/>
      <c r="G444" s="279"/>
      <c r="H444" s="279"/>
      <c r="I444" s="279"/>
      <c r="J444" s="282"/>
      <c r="K444" s="273"/>
      <c r="L444" s="273"/>
      <c r="M444" s="275"/>
      <c r="N444" s="275"/>
      <c r="O444" s="276"/>
      <c r="P444" s="278"/>
      <c r="Q444" s="37">
        <f>SUM(E444:P444)</f>
        <v>0</v>
      </c>
    </row>
    <row r="445" spans="2:17" ht="12.75" customHeight="1" hidden="1">
      <c r="B445" s="22" t="s">
        <v>2</v>
      </c>
      <c r="C445" s="17"/>
      <c r="D445" s="3"/>
      <c r="E445" s="279"/>
      <c r="F445" s="279"/>
      <c r="G445" s="279"/>
      <c r="H445" s="279"/>
      <c r="I445" s="279"/>
      <c r="J445" s="282"/>
      <c r="K445" s="273"/>
      <c r="L445" s="273"/>
      <c r="M445" s="273"/>
      <c r="N445" s="273"/>
      <c r="O445" s="276"/>
      <c r="P445" s="278"/>
      <c r="Q445" s="37">
        <f>SUM(E445:P445)</f>
        <v>0</v>
      </c>
    </row>
    <row r="446" spans="2:17" ht="12.75" customHeight="1" hidden="1">
      <c r="B446" s="22" t="s">
        <v>3</v>
      </c>
      <c r="C446" s="17"/>
      <c r="D446" s="3"/>
      <c r="E446" s="279"/>
      <c r="F446" s="279"/>
      <c r="G446" s="279"/>
      <c r="H446" s="279"/>
      <c r="I446" s="279"/>
      <c r="J446" s="282"/>
      <c r="K446" s="273"/>
      <c r="L446" s="273"/>
      <c r="M446" s="273"/>
      <c r="N446" s="273"/>
      <c r="O446" s="276"/>
      <c r="P446" s="278"/>
      <c r="Q446" s="37">
        <f>SUM(E446:P446)</f>
        <v>0</v>
      </c>
    </row>
    <row r="447" spans="2:17" ht="12.75" customHeight="1" hidden="1">
      <c r="B447" s="22" t="s">
        <v>4</v>
      </c>
      <c r="C447" s="17"/>
      <c r="D447" s="3"/>
      <c r="E447" s="279"/>
      <c r="F447" s="279"/>
      <c r="G447" s="279"/>
      <c r="H447" s="279"/>
      <c r="I447" s="279"/>
      <c r="J447" s="282"/>
      <c r="K447" s="273"/>
      <c r="L447" s="273"/>
      <c r="M447" s="273"/>
      <c r="N447" s="273"/>
      <c r="O447" s="276"/>
      <c r="P447" s="278"/>
      <c r="Q447" s="37">
        <f aca="true" t="shared" si="37" ref="Q447:Q452">SUM(E447:P447)</f>
        <v>0</v>
      </c>
    </row>
    <row r="448" spans="2:17" ht="12.75" customHeight="1" hidden="1">
      <c r="B448" s="22" t="s">
        <v>5</v>
      </c>
      <c r="C448" s="17"/>
      <c r="D448" s="3"/>
      <c r="E448" s="279"/>
      <c r="F448" s="279"/>
      <c r="G448" s="279"/>
      <c r="H448" s="279"/>
      <c r="I448" s="279"/>
      <c r="J448" s="273"/>
      <c r="K448" s="273"/>
      <c r="L448" s="273"/>
      <c r="M448" s="273"/>
      <c r="N448" s="273"/>
      <c r="O448" s="423"/>
      <c r="P448" s="278"/>
      <c r="Q448" s="37">
        <f t="shared" si="37"/>
        <v>0</v>
      </c>
    </row>
    <row r="449" spans="2:17" ht="12.75" customHeight="1" hidden="1">
      <c r="B449" s="22" t="s">
        <v>6</v>
      </c>
      <c r="C449" s="17"/>
      <c r="D449" s="3"/>
      <c r="E449" s="279"/>
      <c r="F449" s="279"/>
      <c r="G449" s="279"/>
      <c r="H449" s="279"/>
      <c r="I449" s="279"/>
      <c r="J449" s="282"/>
      <c r="K449" s="273"/>
      <c r="L449" s="273"/>
      <c r="M449" s="273"/>
      <c r="N449" s="273"/>
      <c r="O449" s="276"/>
      <c r="P449" s="278"/>
      <c r="Q449" s="37">
        <f t="shared" si="37"/>
        <v>0</v>
      </c>
    </row>
    <row r="450" spans="2:17" ht="12.75" customHeight="1" hidden="1">
      <c r="B450" s="22" t="s">
        <v>7</v>
      </c>
      <c r="C450" s="17"/>
      <c r="D450" s="3"/>
      <c r="E450" s="279"/>
      <c r="F450" s="279"/>
      <c r="G450" s="279"/>
      <c r="H450" s="279"/>
      <c r="I450" s="279"/>
      <c r="J450" s="273"/>
      <c r="K450" s="273"/>
      <c r="L450" s="273"/>
      <c r="M450" s="282"/>
      <c r="N450" s="282"/>
      <c r="O450" s="276"/>
      <c r="P450" s="278"/>
      <c r="Q450" s="37">
        <f t="shared" si="37"/>
        <v>0</v>
      </c>
    </row>
    <row r="451" spans="2:17" ht="12.75" customHeight="1" hidden="1">
      <c r="B451" s="22" t="s">
        <v>8</v>
      </c>
      <c r="C451" s="17"/>
      <c r="D451" s="3"/>
      <c r="E451" s="279"/>
      <c r="F451" s="279"/>
      <c r="G451" s="279"/>
      <c r="H451" s="279"/>
      <c r="I451" s="279"/>
      <c r="J451" s="273"/>
      <c r="K451" s="273"/>
      <c r="L451" s="273"/>
      <c r="M451" s="273"/>
      <c r="N451" s="273"/>
      <c r="O451" s="276"/>
      <c r="P451" s="278"/>
      <c r="Q451" s="37">
        <f t="shared" si="37"/>
        <v>0</v>
      </c>
    </row>
    <row r="452" spans="2:17" ht="12.75" customHeight="1" hidden="1">
      <c r="B452" s="22" t="s">
        <v>9</v>
      </c>
      <c r="C452" s="17"/>
      <c r="D452" s="3"/>
      <c r="E452" s="279"/>
      <c r="F452" s="279"/>
      <c r="G452" s="279"/>
      <c r="H452" s="279"/>
      <c r="I452" s="279"/>
      <c r="J452" s="282"/>
      <c r="K452" s="273"/>
      <c r="L452" s="273"/>
      <c r="M452" s="273"/>
      <c r="N452" s="273"/>
      <c r="O452" s="276"/>
      <c r="P452" s="278"/>
      <c r="Q452" s="37">
        <f t="shared" si="37"/>
        <v>0</v>
      </c>
    </row>
    <row r="453" spans="2:17" ht="12.75" customHeight="1" hidden="1">
      <c r="B453" s="22" t="s">
        <v>10</v>
      </c>
      <c r="C453" s="17"/>
      <c r="D453" s="3"/>
      <c r="E453" s="279"/>
      <c r="F453" s="279"/>
      <c r="G453" s="279"/>
      <c r="H453" s="279"/>
      <c r="I453" s="279"/>
      <c r="J453" s="273"/>
      <c r="K453" s="273"/>
      <c r="L453" s="273"/>
      <c r="M453" s="273"/>
      <c r="N453" s="273"/>
      <c r="O453" s="276"/>
      <c r="P453" s="278"/>
      <c r="Q453" s="37">
        <f aca="true" t="shared" si="38" ref="Q453:Q473">SUM(E453:P453)</f>
        <v>0</v>
      </c>
    </row>
    <row r="454" spans="2:17" ht="12.75" customHeight="1" hidden="1">
      <c r="B454" s="22" t="s">
        <v>11</v>
      </c>
      <c r="C454" s="17"/>
      <c r="D454" s="3"/>
      <c r="E454" s="279"/>
      <c r="F454" s="279"/>
      <c r="G454" s="279"/>
      <c r="H454" s="279"/>
      <c r="I454" s="279"/>
      <c r="J454" s="282"/>
      <c r="K454" s="273"/>
      <c r="L454" s="273"/>
      <c r="M454" s="273"/>
      <c r="N454" s="273"/>
      <c r="O454" s="276"/>
      <c r="P454" s="278"/>
      <c r="Q454" s="37">
        <f t="shared" si="38"/>
        <v>0</v>
      </c>
    </row>
    <row r="455" spans="2:17" ht="12.75" customHeight="1" hidden="1">
      <c r="B455" s="22" t="s">
        <v>13</v>
      </c>
      <c r="C455" s="17"/>
      <c r="D455" s="3"/>
      <c r="E455" s="279"/>
      <c r="F455" s="279"/>
      <c r="G455" s="279"/>
      <c r="H455" s="279"/>
      <c r="I455" s="279"/>
      <c r="J455" s="282"/>
      <c r="K455" s="273"/>
      <c r="L455" s="273"/>
      <c r="M455" s="273"/>
      <c r="N455" s="273"/>
      <c r="O455" s="276"/>
      <c r="P455" s="278"/>
      <c r="Q455" s="37">
        <f t="shared" si="38"/>
        <v>0</v>
      </c>
    </row>
    <row r="456" spans="2:17" ht="12.75" customHeight="1" hidden="1">
      <c r="B456" s="22" t="s">
        <v>14</v>
      </c>
      <c r="C456" s="17"/>
      <c r="D456" s="3"/>
      <c r="E456" s="279"/>
      <c r="F456" s="279"/>
      <c r="G456" s="279"/>
      <c r="H456" s="279"/>
      <c r="I456" s="279"/>
      <c r="J456" s="273"/>
      <c r="K456" s="273"/>
      <c r="L456" s="273"/>
      <c r="M456" s="273"/>
      <c r="N456" s="273"/>
      <c r="O456" s="276"/>
      <c r="P456" s="278"/>
      <c r="Q456" s="37">
        <f t="shared" si="38"/>
        <v>0</v>
      </c>
    </row>
    <row r="457" spans="2:17" ht="12.75" customHeight="1" hidden="1">
      <c r="B457" s="22" t="s">
        <v>15</v>
      </c>
      <c r="C457" s="17"/>
      <c r="D457" s="3"/>
      <c r="E457" s="279"/>
      <c r="F457" s="279"/>
      <c r="G457" s="279"/>
      <c r="H457" s="279"/>
      <c r="I457" s="279"/>
      <c r="J457" s="282"/>
      <c r="K457" s="273"/>
      <c r="L457" s="273"/>
      <c r="M457" s="273"/>
      <c r="N457" s="273"/>
      <c r="O457" s="276"/>
      <c r="P457" s="278"/>
      <c r="Q457" s="37">
        <f t="shared" si="38"/>
        <v>0</v>
      </c>
    </row>
    <row r="458" spans="2:17" ht="12.75" customHeight="1" hidden="1">
      <c r="B458" s="22" t="s">
        <v>16</v>
      </c>
      <c r="C458" s="17"/>
      <c r="D458" s="3"/>
      <c r="E458" s="279"/>
      <c r="F458" s="279"/>
      <c r="G458" s="279"/>
      <c r="H458" s="279"/>
      <c r="I458" s="279"/>
      <c r="J458" s="282"/>
      <c r="K458" s="273"/>
      <c r="L458" s="273"/>
      <c r="M458" s="273"/>
      <c r="N458" s="273"/>
      <c r="O458" s="276"/>
      <c r="P458" s="278"/>
      <c r="Q458" s="37">
        <f t="shared" si="38"/>
        <v>0</v>
      </c>
    </row>
    <row r="459" spans="2:17" ht="12.75" customHeight="1" hidden="1">
      <c r="B459" s="22" t="s">
        <v>17</v>
      </c>
      <c r="C459" s="17"/>
      <c r="D459" s="3"/>
      <c r="E459" s="279"/>
      <c r="F459" s="279"/>
      <c r="G459" s="279"/>
      <c r="H459" s="279"/>
      <c r="I459" s="279"/>
      <c r="J459" s="282"/>
      <c r="K459" s="273"/>
      <c r="L459" s="273"/>
      <c r="M459" s="273"/>
      <c r="N459" s="273"/>
      <c r="O459" s="276"/>
      <c r="P459" s="278"/>
      <c r="Q459" s="37">
        <f t="shared" si="38"/>
        <v>0</v>
      </c>
    </row>
    <row r="460" spans="2:17" ht="12.75" customHeight="1" hidden="1">
      <c r="B460" s="22" t="s">
        <v>18</v>
      </c>
      <c r="C460" s="17"/>
      <c r="D460" s="3"/>
      <c r="E460" s="279"/>
      <c r="F460" s="279"/>
      <c r="G460" s="279"/>
      <c r="H460" s="279"/>
      <c r="I460" s="279"/>
      <c r="J460" s="273"/>
      <c r="K460" s="273"/>
      <c r="L460" s="273"/>
      <c r="M460" s="273"/>
      <c r="N460" s="273"/>
      <c r="O460" s="276"/>
      <c r="P460" s="278"/>
      <c r="Q460" s="37">
        <f t="shared" si="38"/>
        <v>0</v>
      </c>
    </row>
    <row r="461" spans="2:17" ht="12.75" customHeight="1" hidden="1">
      <c r="B461" s="22" t="s">
        <v>19</v>
      </c>
      <c r="C461" s="17"/>
      <c r="D461" s="3"/>
      <c r="E461" s="279"/>
      <c r="F461" s="279"/>
      <c r="G461" s="279"/>
      <c r="H461" s="279"/>
      <c r="I461" s="279"/>
      <c r="J461" s="282"/>
      <c r="K461" s="273"/>
      <c r="L461" s="273"/>
      <c r="M461" s="273"/>
      <c r="N461" s="273"/>
      <c r="O461" s="276"/>
      <c r="P461" s="278"/>
      <c r="Q461" s="37">
        <f t="shared" si="38"/>
        <v>0</v>
      </c>
    </row>
    <row r="462" spans="2:17" ht="12.75" customHeight="1" hidden="1">
      <c r="B462" s="22" t="s">
        <v>20</v>
      </c>
      <c r="C462" s="58"/>
      <c r="D462" s="11"/>
      <c r="E462" s="279"/>
      <c r="F462" s="279"/>
      <c r="G462" s="279"/>
      <c r="H462" s="279"/>
      <c r="I462" s="279"/>
      <c r="J462" s="282"/>
      <c r="K462" s="273"/>
      <c r="L462" s="273"/>
      <c r="M462" s="273"/>
      <c r="N462" s="273"/>
      <c r="O462" s="276"/>
      <c r="P462" s="278"/>
      <c r="Q462" s="37">
        <f t="shared" si="38"/>
        <v>0</v>
      </c>
    </row>
    <row r="463" spans="2:18" ht="12.75" customHeight="1" hidden="1">
      <c r="B463" s="22" t="s">
        <v>21</v>
      </c>
      <c r="C463" s="58"/>
      <c r="D463" s="10"/>
      <c r="E463" s="279"/>
      <c r="F463" s="279"/>
      <c r="G463" s="279"/>
      <c r="H463" s="279"/>
      <c r="I463" s="279"/>
      <c r="J463" s="273"/>
      <c r="K463" s="273"/>
      <c r="L463" s="273"/>
      <c r="M463" s="273"/>
      <c r="N463" s="273"/>
      <c r="O463" s="276"/>
      <c r="P463" s="278"/>
      <c r="Q463" s="37">
        <f t="shared" si="38"/>
        <v>0</v>
      </c>
      <c r="R463" s="416">
        <f>K445+K454+K458+K464+K466</f>
        <v>0</v>
      </c>
    </row>
    <row r="464" spans="2:17" ht="12.75" customHeight="1" hidden="1">
      <c r="B464" s="22" t="s">
        <v>22</v>
      </c>
      <c r="C464" s="58"/>
      <c r="D464" s="10"/>
      <c r="E464" s="279"/>
      <c r="F464" s="279"/>
      <c r="G464" s="279"/>
      <c r="H464" s="279"/>
      <c r="I464" s="279"/>
      <c r="J464" s="282"/>
      <c r="K464" s="273"/>
      <c r="L464" s="273"/>
      <c r="M464" s="273"/>
      <c r="N464" s="273"/>
      <c r="O464" s="276"/>
      <c r="P464" s="278"/>
      <c r="Q464" s="37">
        <f t="shared" si="38"/>
        <v>0</v>
      </c>
    </row>
    <row r="465" spans="2:17" ht="12.75" customHeight="1" hidden="1">
      <c r="B465" s="22" t="s">
        <v>23</v>
      </c>
      <c r="C465" s="58"/>
      <c r="D465" s="10"/>
      <c r="E465" s="279"/>
      <c r="F465" s="279"/>
      <c r="G465" s="279"/>
      <c r="H465" s="279"/>
      <c r="I465" s="279"/>
      <c r="J465" s="273"/>
      <c r="K465" s="273"/>
      <c r="L465" s="273"/>
      <c r="M465" s="272"/>
      <c r="N465" s="272"/>
      <c r="O465" s="276"/>
      <c r="P465" s="278"/>
      <c r="Q465" s="37">
        <f t="shared" si="38"/>
        <v>0</v>
      </c>
    </row>
    <row r="466" spans="2:17" ht="12.75" customHeight="1" hidden="1">
      <c r="B466" s="22" t="s">
        <v>25</v>
      </c>
      <c r="C466" s="58"/>
      <c r="D466" s="10"/>
      <c r="E466" s="279"/>
      <c r="F466" s="279"/>
      <c r="G466" s="279"/>
      <c r="H466" s="279"/>
      <c r="I466" s="279"/>
      <c r="J466" s="282"/>
      <c r="K466" s="273"/>
      <c r="L466" s="273"/>
      <c r="M466" s="272"/>
      <c r="N466" s="272"/>
      <c r="O466" s="276"/>
      <c r="P466" s="278"/>
      <c r="Q466" s="37">
        <f t="shared" si="38"/>
        <v>0</v>
      </c>
    </row>
    <row r="467" spans="2:17" ht="12.75" customHeight="1" hidden="1">
      <c r="B467" s="22" t="s">
        <v>26</v>
      </c>
      <c r="C467" s="58"/>
      <c r="D467" s="10"/>
      <c r="E467" s="279"/>
      <c r="F467" s="279"/>
      <c r="G467" s="279"/>
      <c r="H467" s="279"/>
      <c r="I467" s="279"/>
      <c r="J467" s="282"/>
      <c r="K467" s="273"/>
      <c r="L467" s="273"/>
      <c r="M467" s="273"/>
      <c r="N467" s="273"/>
      <c r="O467" s="276"/>
      <c r="P467" s="276"/>
      <c r="Q467" s="37">
        <f t="shared" si="38"/>
        <v>0</v>
      </c>
    </row>
    <row r="468" spans="2:17" ht="12.75" customHeight="1" hidden="1">
      <c r="B468" s="22" t="s">
        <v>29</v>
      </c>
      <c r="C468" s="58"/>
      <c r="D468" s="10"/>
      <c r="E468" s="95"/>
      <c r="F468" s="95"/>
      <c r="G468" s="95"/>
      <c r="H468" s="95"/>
      <c r="I468" s="95"/>
      <c r="J468" s="36"/>
      <c r="K468" s="29"/>
      <c r="L468" s="29"/>
      <c r="M468" s="29"/>
      <c r="N468" s="29"/>
      <c r="O468" s="1"/>
      <c r="P468" s="1"/>
      <c r="Q468" s="37">
        <f t="shared" si="38"/>
        <v>0</v>
      </c>
    </row>
    <row r="469" spans="2:17" ht="12.75" customHeight="1" hidden="1">
      <c r="B469" s="22" t="s">
        <v>31</v>
      </c>
      <c r="C469" s="58"/>
      <c r="D469" s="10"/>
      <c r="E469" s="95"/>
      <c r="F469" s="95"/>
      <c r="G469" s="95"/>
      <c r="H469" s="95"/>
      <c r="I469" s="95"/>
      <c r="J469" s="36"/>
      <c r="K469" s="29"/>
      <c r="L469" s="36"/>
      <c r="M469" s="29"/>
      <c r="N469" s="29"/>
      <c r="O469" s="1"/>
      <c r="P469" s="1"/>
      <c r="Q469" s="37">
        <f t="shared" si="38"/>
        <v>0</v>
      </c>
    </row>
    <row r="470" spans="2:17" ht="12.75" customHeight="1" hidden="1">
      <c r="B470" s="22" t="s">
        <v>32</v>
      </c>
      <c r="C470" s="58"/>
      <c r="D470" s="10"/>
      <c r="E470" s="95"/>
      <c r="F470" s="95"/>
      <c r="G470" s="95"/>
      <c r="H470" s="95"/>
      <c r="I470" s="95"/>
      <c r="J470" s="36"/>
      <c r="K470" s="29"/>
      <c r="L470" s="4"/>
      <c r="M470" s="29"/>
      <c r="N470" s="29"/>
      <c r="O470" s="1"/>
      <c r="P470" s="1"/>
      <c r="Q470" s="37">
        <f t="shared" si="38"/>
        <v>0</v>
      </c>
    </row>
    <row r="471" spans="2:17" ht="12.75" customHeight="1" hidden="1">
      <c r="B471" s="23" t="s">
        <v>34</v>
      </c>
      <c r="C471" s="58"/>
      <c r="D471" s="10"/>
      <c r="E471" s="95"/>
      <c r="F471" s="95"/>
      <c r="G471" s="95"/>
      <c r="H471" s="95"/>
      <c r="I471" s="95"/>
      <c r="J471" s="36"/>
      <c r="K471" s="29"/>
      <c r="L471" s="4"/>
      <c r="M471" s="29"/>
      <c r="N471" s="29"/>
      <c r="O471" s="1"/>
      <c r="P471" s="1"/>
      <c r="Q471" s="37">
        <f t="shared" si="38"/>
        <v>0</v>
      </c>
    </row>
    <row r="472" spans="2:17" ht="12.75" customHeight="1" hidden="1">
      <c r="B472" s="22" t="s">
        <v>46</v>
      </c>
      <c r="C472" s="58"/>
      <c r="D472" s="10"/>
      <c r="E472" s="95"/>
      <c r="F472" s="95"/>
      <c r="G472" s="95"/>
      <c r="H472" s="95"/>
      <c r="I472" s="95"/>
      <c r="J472" s="36"/>
      <c r="K472" s="29"/>
      <c r="L472" s="41"/>
      <c r="M472" s="4"/>
      <c r="N472" s="4"/>
      <c r="O472" s="1"/>
      <c r="P472" s="1"/>
      <c r="Q472" s="37">
        <f t="shared" si="38"/>
        <v>0</v>
      </c>
    </row>
    <row r="473" spans="2:17" ht="12.75" customHeight="1" hidden="1" thickBot="1">
      <c r="B473" s="24" t="s">
        <v>38</v>
      </c>
      <c r="C473" s="61"/>
      <c r="D473" s="59"/>
      <c r="E473" s="95"/>
      <c r="F473" s="202"/>
      <c r="G473" s="95"/>
      <c r="H473" s="202"/>
      <c r="I473" s="66"/>
      <c r="J473" s="38"/>
      <c r="K473" s="30"/>
      <c r="L473" s="69"/>
      <c r="M473" s="68"/>
      <c r="N473" s="68"/>
      <c r="O473" s="203"/>
      <c r="P473" s="203"/>
      <c r="Q473" s="37">
        <f t="shared" si="38"/>
        <v>0</v>
      </c>
    </row>
    <row r="474" spans="2:17" ht="12.75" customHeight="1" hidden="1" thickBot="1">
      <c r="B474" s="32" t="s">
        <v>12</v>
      </c>
      <c r="C474" s="13">
        <f>SUM(C462:C473)</f>
        <v>0</v>
      </c>
      <c r="D474" s="13">
        <f>SUM(D462:D473)</f>
        <v>0</v>
      </c>
      <c r="E474" s="318">
        <f>SUM(E443:E473)</f>
        <v>0</v>
      </c>
      <c r="F474" s="318">
        <f aca="true" t="shared" si="39" ref="F474:P474">SUM(F443:F473)</f>
        <v>0</v>
      </c>
      <c r="G474" s="318">
        <f>SUM(G443:G473)</f>
        <v>0</v>
      </c>
      <c r="H474" s="318"/>
      <c r="I474" s="318">
        <f t="shared" si="39"/>
        <v>0</v>
      </c>
      <c r="J474" s="318">
        <f t="shared" si="39"/>
        <v>0</v>
      </c>
      <c r="K474" s="318">
        <f t="shared" si="39"/>
        <v>0</v>
      </c>
      <c r="L474" s="318">
        <f>SUM(L443:L473)</f>
        <v>0</v>
      </c>
      <c r="M474" s="318">
        <f t="shared" si="39"/>
        <v>0</v>
      </c>
      <c r="N474" s="318">
        <f t="shared" si="39"/>
        <v>0</v>
      </c>
      <c r="O474" s="318">
        <f t="shared" si="39"/>
        <v>0</v>
      </c>
      <c r="P474" s="318">
        <f t="shared" si="39"/>
        <v>0</v>
      </c>
      <c r="Q474" s="27">
        <f>SUM(Q443:Q472)+Q473</f>
        <v>0</v>
      </c>
    </row>
    <row r="475" spans="2:17" ht="12.75" customHeight="1" hidden="1" thickBot="1">
      <c r="B475" s="71"/>
      <c r="C475" s="206">
        <v>2110</v>
      </c>
      <c r="D475" s="206">
        <v>2111</v>
      </c>
      <c r="E475" s="320">
        <v>2210</v>
      </c>
      <c r="F475" s="321">
        <v>2230</v>
      </c>
      <c r="G475" s="321">
        <v>2240</v>
      </c>
      <c r="H475" s="321"/>
      <c r="I475" s="321">
        <v>2271</v>
      </c>
      <c r="J475" s="322">
        <v>2272</v>
      </c>
      <c r="K475" s="322">
        <v>2273</v>
      </c>
      <c r="L475" s="321">
        <v>2274</v>
      </c>
      <c r="M475" s="321">
        <v>2275</v>
      </c>
      <c r="N475" s="181">
        <v>2800</v>
      </c>
      <c r="O475" s="121">
        <v>2730</v>
      </c>
      <c r="P475" s="15">
        <v>2282</v>
      </c>
      <c r="Q475" s="27">
        <f>E474+F474+G474+I474+J474+K474+L474+M474+N474+O474+P474</f>
        <v>0</v>
      </c>
    </row>
    <row r="476" spans="2:17" ht="12.75" customHeight="1" hidden="1">
      <c r="B476" s="63"/>
      <c r="C476" s="63"/>
      <c r="D476" s="63"/>
      <c r="E476" s="189"/>
      <c r="F476" s="189"/>
      <c r="G476" s="189"/>
      <c r="H476" s="189"/>
      <c r="I476" s="189"/>
      <c r="J476" s="299"/>
      <c r="K476" s="299"/>
      <c r="L476" s="189"/>
      <c r="M476" s="189"/>
      <c r="N476" s="189"/>
      <c r="O476" s="299"/>
      <c r="P476" s="299"/>
      <c r="Q476" s="184">
        <f>SUM(E476:P476)</f>
        <v>0</v>
      </c>
    </row>
    <row r="477" spans="2:17" ht="12.75" customHeight="1" hidden="1">
      <c r="B477" s="337" t="s">
        <v>12</v>
      </c>
      <c r="C477" s="88"/>
      <c r="D477" s="88"/>
      <c r="E477" s="410">
        <f aca="true" t="shared" si="40" ref="E477:P477">SUM(E476)</f>
        <v>0</v>
      </c>
      <c r="F477" s="410">
        <f t="shared" si="40"/>
        <v>0</v>
      </c>
      <c r="G477" s="410">
        <f t="shared" si="40"/>
        <v>0</v>
      </c>
      <c r="H477" s="410"/>
      <c r="I477" s="410">
        <f t="shared" si="40"/>
        <v>0</v>
      </c>
      <c r="J477" s="410">
        <f t="shared" si="40"/>
        <v>0</v>
      </c>
      <c r="K477" s="410">
        <f t="shared" si="40"/>
        <v>0</v>
      </c>
      <c r="L477" s="410">
        <f t="shared" si="40"/>
        <v>0</v>
      </c>
      <c r="M477" s="410">
        <f t="shared" si="40"/>
        <v>0</v>
      </c>
      <c r="N477" s="410">
        <f t="shared" si="40"/>
        <v>0</v>
      </c>
      <c r="O477" s="410">
        <f t="shared" si="40"/>
        <v>0</v>
      </c>
      <c r="P477" s="410">
        <f t="shared" si="40"/>
        <v>0</v>
      </c>
      <c r="Q477" s="410">
        <f>SUM(E477:P477)</f>
        <v>0</v>
      </c>
    </row>
    <row r="478" spans="2:17" ht="12.75" customHeight="1" hidden="1">
      <c r="B478" s="64"/>
      <c r="C478" s="64"/>
      <c r="D478" s="64"/>
      <c r="E478" s="64"/>
      <c r="F478" s="64"/>
      <c r="G478" s="64"/>
      <c r="H478" s="64"/>
      <c r="I478" s="64"/>
      <c r="J478" s="64"/>
      <c r="K478" s="64"/>
      <c r="L478" s="64"/>
      <c r="M478" s="64"/>
      <c r="N478" s="64"/>
      <c r="O478" s="64"/>
      <c r="P478" s="64"/>
      <c r="Q478" s="64"/>
    </row>
    <row r="479" spans="2:17" ht="12.75" customHeight="1">
      <c r="B479" s="64"/>
      <c r="C479" s="64"/>
      <c r="D479" s="64"/>
      <c r="E479" s="64"/>
      <c r="F479" s="64"/>
      <c r="G479" s="64"/>
      <c r="H479" s="64"/>
      <c r="I479" s="64"/>
      <c r="J479" s="64"/>
      <c r="K479" s="64"/>
      <c r="L479" s="64"/>
      <c r="M479" s="64"/>
      <c r="N479" s="64"/>
      <c r="O479" s="64"/>
      <c r="P479" s="64"/>
      <c r="Q479" s="64"/>
    </row>
    <row r="480" spans="2:17" ht="83.25" customHeight="1" thickBot="1">
      <c r="B480" s="435" t="s">
        <v>72</v>
      </c>
      <c r="C480" s="435"/>
      <c r="D480" s="435"/>
      <c r="E480" s="435"/>
      <c r="F480" s="435"/>
      <c r="G480" s="435"/>
      <c r="H480" s="435"/>
      <c r="I480" s="435"/>
      <c r="J480" s="435"/>
      <c r="K480" s="435"/>
      <c r="L480" s="435"/>
      <c r="M480" s="435"/>
      <c r="N480" s="435"/>
      <c r="O480" s="435"/>
      <c r="P480" s="435"/>
      <c r="Q480" s="435"/>
    </row>
    <row r="481" spans="1:17" ht="19.5" customHeight="1" thickBot="1">
      <c r="A481" s="339"/>
      <c r="B481" s="415" t="s">
        <v>36</v>
      </c>
      <c r="C481" s="207">
        <v>2111</v>
      </c>
      <c r="D481" s="437">
        <v>2120</v>
      </c>
      <c r="E481" s="207">
        <v>2210</v>
      </c>
      <c r="F481" s="120">
        <v>2230</v>
      </c>
      <c r="G481" s="120">
        <v>2240</v>
      </c>
      <c r="H481" s="120"/>
      <c r="I481" s="120">
        <v>2271</v>
      </c>
      <c r="J481" s="15">
        <v>2272</v>
      </c>
      <c r="K481" s="15">
        <v>2273</v>
      </c>
      <c r="L481" s="121">
        <v>2274</v>
      </c>
      <c r="M481" s="121">
        <v>2275</v>
      </c>
      <c r="N481" s="321">
        <v>2800</v>
      </c>
      <c r="O481" s="121">
        <v>2730</v>
      </c>
      <c r="P481" s="15">
        <v>2282</v>
      </c>
      <c r="Q481" s="433" t="s">
        <v>71</v>
      </c>
    </row>
    <row r="482" spans="1:17" ht="12.75" customHeight="1">
      <c r="A482" s="344">
        <v>1</v>
      </c>
      <c r="B482" s="340" t="s">
        <v>0</v>
      </c>
      <c r="C482" s="193">
        <f>412879.5+143183.6</f>
        <v>556063.1</v>
      </c>
      <c r="D482" s="97">
        <f>C482*0.231</f>
        <v>128450.5761</v>
      </c>
      <c r="E482" s="251">
        <f aca="true" t="shared" si="41" ref="E482:P482">E4+E42+E80+E118+E157+E196+E237+E277+E360+E317+E402+E443</f>
        <v>11498.112000000001</v>
      </c>
      <c r="F482" s="251">
        <f t="shared" si="41"/>
        <v>4825.87</v>
      </c>
      <c r="G482" s="251">
        <f t="shared" si="41"/>
        <v>883.212</v>
      </c>
      <c r="H482" s="251"/>
      <c r="I482" s="251">
        <f t="shared" si="41"/>
        <v>0</v>
      </c>
      <c r="J482" s="251">
        <f t="shared" si="41"/>
        <v>0</v>
      </c>
      <c r="K482" s="251">
        <f>K4+K42+K80+K118+K157+K196+K237+K277+K360+K317+K402+K443</f>
        <v>2614</v>
      </c>
      <c r="L482" s="251">
        <f t="shared" si="41"/>
        <v>0</v>
      </c>
      <c r="M482" s="251">
        <f t="shared" si="41"/>
        <v>0</v>
      </c>
      <c r="N482" s="251">
        <f t="shared" si="41"/>
        <v>10.16</v>
      </c>
      <c r="O482" s="251">
        <f t="shared" si="41"/>
        <v>0</v>
      </c>
      <c r="P482" s="362">
        <f t="shared" si="41"/>
        <v>60</v>
      </c>
      <c r="Q482" s="434">
        <f>C482+D482+E482+F482+G482+I482+J482+K482+L482+M482+N482+O482+P482</f>
        <v>704405.0301000001</v>
      </c>
    </row>
    <row r="483" spans="1:17" ht="12.75" customHeight="1">
      <c r="A483" s="345">
        <v>2</v>
      </c>
      <c r="B483" s="341" t="s">
        <v>1</v>
      </c>
      <c r="C483" s="194">
        <f>443401.15+144301.52</f>
        <v>587702.67</v>
      </c>
      <c r="D483" s="95">
        <f aca="true" t="shared" si="42" ref="D483:D511">C483*0.231</f>
        <v>135759.31677</v>
      </c>
      <c r="E483" s="251">
        <f aca="true" t="shared" si="43" ref="E483:K492">E5+E43+E81+E119+E158+E197+E238+E278+E361+E318+E403+E444</f>
        <v>16969.048</v>
      </c>
      <c r="F483" s="251">
        <f t="shared" si="43"/>
        <v>9283.89</v>
      </c>
      <c r="G483" s="251">
        <f t="shared" si="43"/>
        <v>603.3699999999999</v>
      </c>
      <c r="H483" s="251"/>
      <c r="I483" s="251">
        <f t="shared" si="43"/>
        <v>0</v>
      </c>
      <c r="J483" s="251">
        <f t="shared" si="43"/>
        <v>0</v>
      </c>
      <c r="K483" s="251">
        <f t="shared" si="43"/>
        <v>7520</v>
      </c>
      <c r="L483" s="251">
        <f>L5+L43+L81+L119+L158+L197+L238+L278+L361+L318+L403+L444-0.01</f>
        <v>143750.27</v>
      </c>
      <c r="M483" s="251">
        <f aca="true" t="shared" si="44" ref="M483:P504">M5+M43+M81+M119+M158+M197+M238+M278+M361+M318+M403+M444</f>
        <v>0</v>
      </c>
      <c r="N483" s="251">
        <f t="shared" si="44"/>
        <v>10.17</v>
      </c>
      <c r="O483" s="251">
        <f t="shared" si="44"/>
        <v>0</v>
      </c>
      <c r="P483" s="362">
        <f t="shared" si="44"/>
        <v>30</v>
      </c>
      <c r="Q483" s="434">
        <f aca="true" t="shared" si="45" ref="Q483:Q511">C483+D483+E483+F483+G483+I483+J483+K483+L483+M483+N483+O483+P483</f>
        <v>901628.7347700001</v>
      </c>
    </row>
    <row r="484" spans="1:17" ht="12.75" customHeight="1">
      <c r="A484" s="345">
        <v>3</v>
      </c>
      <c r="B484" s="341" t="s">
        <v>2</v>
      </c>
      <c r="C484" s="194">
        <f>794283.93+297433.39</f>
        <v>1091717.32</v>
      </c>
      <c r="D484" s="95">
        <f t="shared" si="42"/>
        <v>252186.70092000003</v>
      </c>
      <c r="E484" s="251">
        <f t="shared" si="43"/>
        <v>40834.686</v>
      </c>
      <c r="F484" s="251">
        <f t="shared" si="43"/>
        <v>11196.33</v>
      </c>
      <c r="G484" s="251">
        <f t="shared" si="43"/>
        <v>1386.882</v>
      </c>
      <c r="H484" s="251"/>
      <c r="I484" s="251">
        <f t="shared" si="43"/>
        <v>0</v>
      </c>
      <c r="J484" s="251">
        <f t="shared" si="43"/>
        <v>0</v>
      </c>
      <c r="K484" s="251">
        <f t="shared" si="43"/>
        <v>33473</v>
      </c>
      <c r="L484" s="251">
        <f aca="true" t="shared" si="46" ref="L484:L504">L6+L44+L82+L120+L159+L198+L239+L279+L362+L319+L404+L445</f>
        <v>0</v>
      </c>
      <c r="M484" s="251">
        <f t="shared" si="44"/>
        <v>0</v>
      </c>
      <c r="N484" s="251">
        <f t="shared" si="44"/>
        <v>18.4</v>
      </c>
      <c r="O484" s="251">
        <f t="shared" si="44"/>
        <v>0</v>
      </c>
      <c r="P484" s="362">
        <f t="shared" si="44"/>
        <v>120</v>
      </c>
      <c r="Q484" s="434">
        <f t="shared" si="45"/>
        <v>1430933.31892</v>
      </c>
    </row>
    <row r="485" spans="1:17" ht="12.75" customHeight="1">
      <c r="A485" s="345">
        <v>4</v>
      </c>
      <c r="B485" s="341" t="s">
        <v>3</v>
      </c>
      <c r="C485" s="194">
        <f>415827.48+112158.9</f>
        <v>527986.38</v>
      </c>
      <c r="D485" s="95">
        <f t="shared" si="42"/>
        <v>121964.85378</v>
      </c>
      <c r="E485" s="251">
        <f t="shared" si="43"/>
        <v>0</v>
      </c>
      <c r="F485" s="251">
        <f t="shared" si="43"/>
        <v>4489.94</v>
      </c>
      <c r="G485" s="251">
        <f t="shared" si="43"/>
        <v>645.3699999999999</v>
      </c>
      <c r="H485" s="251"/>
      <c r="I485" s="251">
        <f t="shared" si="43"/>
        <v>0</v>
      </c>
      <c r="J485" s="251">
        <f t="shared" si="43"/>
        <v>0</v>
      </c>
      <c r="K485" s="251">
        <f t="shared" si="43"/>
        <v>6836</v>
      </c>
      <c r="L485" s="251">
        <f t="shared" si="46"/>
        <v>110519.87</v>
      </c>
      <c r="M485" s="251">
        <f t="shared" si="44"/>
        <v>0</v>
      </c>
      <c r="N485" s="251">
        <f t="shared" si="44"/>
        <v>10.16</v>
      </c>
      <c r="O485" s="251">
        <f t="shared" si="44"/>
        <v>0</v>
      </c>
      <c r="P485" s="362">
        <f t="shared" si="44"/>
        <v>0</v>
      </c>
      <c r="Q485" s="434">
        <f t="shared" si="45"/>
        <v>772452.57378</v>
      </c>
    </row>
    <row r="486" spans="1:17" ht="12.75" customHeight="1">
      <c r="A486" s="345">
        <v>5</v>
      </c>
      <c r="B486" s="341" t="s">
        <v>4</v>
      </c>
      <c r="C486" s="194">
        <f>425541.8+110385.96</f>
        <v>535927.76</v>
      </c>
      <c r="D486" s="95">
        <f t="shared" si="42"/>
        <v>123799.31256</v>
      </c>
      <c r="E486" s="251">
        <f t="shared" si="43"/>
        <v>200</v>
      </c>
      <c r="F486" s="251">
        <f t="shared" si="43"/>
        <v>1552.7200000000003</v>
      </c>
      <c r="G486" s="251">
        <f t="shared" si="43"/>
        <v>198.37</v>
      </c>
      <c r="H486" s="251"/>
      <c r="I486" s="251">
        <f t="shared" si="43"/>
        <v>0</v>
      </c>
      <c r="J486" s="251">
        <f t="shared" si="43"/>
        <v>0</v>
      </c>
      <c r="K486" s="251">
        <f t="shared" si="43"/>
        <v>8270</v>
      </c>
      <c r="L486" s="251">
        <f t="shared" si="46"/>
        <v>0</v>
      </c>
      <c r="M486" s="251">
        <f t="shared" si="44"/>
        <v>0</v>
      </c>
      <c r="N486" s="251">
        <f t="shared" si="44"/>
        <v>10.17</v>
      </c>
      <c r="O486" s="251">
        <f t="shared" si="44"/>
        <v>0</v>
      </c>
      <c r="P486" s="362">
        <f t="shared" si="44"/>
        <v>0</v>
      </c>
      <c r="Q486" s="434">
        <f t="shared" si="45"/>
        <v>669958.33256</v>
      </c>
    </row>
    <row r="487" spans="1:17" ht="12.75" customHeight="1">
      <c r="A487" s="345">
        <v>6</v>
      </c>
      <c r="B487" s="341" t="s">
        <v>5</v>
      </c>
      <c r="C487" s="194">
        <f>1389176.41+363240.6</f>
        <v>1752417.0099999998</v>
      </c>
      <c r="D487" s="95">
        <f t="shared" si="42"/>
        <v>404808.32930999994</v>
      </c>
      <c r="E487" s="251">
        <f t="shared" si="43"/>
        <v>49068.022</v>
      </c>
      <c r="F487" s="251">
        <f t="shared" si="43"/>
        <v>25154.239999999998</v>
      </c>
      <c r="G487" s="251">
        <f t="shared" si="43"/>
        <v>2922.88</v>
      </c>
      <c r="H487" s="251"/>
      <c r="I487" s="251">
        <f t="shared" si="43"/>
        <v>322378.18</v>
      </c>
      <c r="J487" s="251">
        <f t="shared" si="43"/>
        <v>16470.08</v>
      </c>
      <c r="K487" s="251">
        <f t="shared" si="43"/>
        <v>58991.66</v>
      </c>
      <c r="L487" s="251">
        <f t="shared" si="46"/>
        <v>0</v>
      </c>
      <c r="M487" s="251">
        <f t="shared" si="44"/>
        <v>0</v>
      </c>
      <c r="N487" s="251">
        <f t="shared" si="44"/>
        <v>66.2</v>
      </c>
      <c r="O487" s="251">
        <f t="shared" si="44"/>
        <v>0</v>
      </c>
      <c r="P487" s="362">
        <f t="shared" si="44"/>
        <v>240</v>
      </c>
      <c r="Q487" s="434">
        <f t="shared" si="45"/>
        <v>2632516.6013100003</v>
      </c>
    </row>
    <row r="488" spans="1:17" ht="12.75" customHeight="1">
      <c r="A488" s="345">
        <v>7</v>
      </c>
      <c r="B488" s="341" t="s">
        <v>6</v>
      </c>
      <c r="C488" s="194">
        <f>461230.01+143429.27</f>
        <v>604659.28</v>
      </c>
      <c r="D488" s="95">
        <f t="shared" si="42"/>
        <v>139676.29368</v>
      </c>
      <c r="E488" s="251">
        <f t="shared" si="43"/>
        <v>0</v>
      </c>
      <c r="F488" s="251">
        <f t="shared" si="43"/>
        <v>3477.0600000000004</v>
      </c>
      <c r="G488" s="251">
        <f t="shared" si="43"/>
        <v>810.0219999999999</v>
      </c>
      <c r="H488" s="251"/>
      <c r="I488" s="251">
        <f t="shared" si="43"/>
        <v>0</v>
      </c>
      <c r="J488" s="251">
        <f t="shared" si="43"/>
        <v>662.2</v>
      </c>
      <c r="K488" s="251">
        <f t="shared" si="43"/>
        <v>17281</v>
      </c>
      <c r="L488" s="251">
        <f t="shared" si="46"/>
        <v>0</v>
      </c>
      <c r="M488" s="251">
        <f t="shared" si="44"/>
        <v>4994.22</v>
      </c>
      <c r="N488" s="251">
        <f t="shared" si="44"/>
        <v>10.17</v>
      </c>
      <c r="O488" s="251">
        <f t="shared" si="44"/>
        <v>0</v>
      </c>
      <c r="P488" s="362">
        <f t="shared" si="44"/>
        <v>60</v>
      </c>
      <c r="Q488" s="434">
        <f t="shared" si="45"/>
        <v>771630.24568</v>
      </c>
    </row>
    <row r="489" spans="1:17" ht="12.75" customHeight="1">
      <c r="A489" s="345">
        <v>8</v>
      </c>
      <c r="B489" s="341" t="s">
        <v>7</v>
      </c>
      <c r="C489" s="194">
        <f>418603.93+111158.98</f>
        <v>529762.91</v>
      </c>
      <c r="D489" s="95">
        <f t="shared" si="42"/>
        <v>122375.23221000002</v>
      </c>
      <c r="E489" s="251">
        <f t="shared" si="43"/>
        <v>0</v>
      </c>
      <c r="F489" s="251">
        <f t="shared" si="43"/>
        <v>2037.76</v>
      </c>
      <c r="G489" s="251">
        <f t="shared" si="43"/>
        <v>685.446</v>
      </c>
      <c r="H489" s="251"/>
      <c r="I489" s="251">
        <f t="shared" si="43"/>
        <v>0</v>
      </c>
      <c r="J489" s="251">
        <f t="shared" si="43"/>
        <v>974.3799999999999</v>
      </c>
      <c r="K489" s="251">
        <f t="shared" si="43"/>
        <v>25708</v>
      </c>
      <c r="L489" s="251">
        <f t="shared" si="46"/>
        <v>0</v>
      </c>
      <c r="M489" s="251">
        <f t="shared" si="44"/>
        <v>0</v>
      </c>
      <c r="N489" s="251">
        <f t="shared" si="44"/>
        <v>10.16</v>
      </c>
      <c r="O489" s="251">
        <f t="shared" si="44"/>
        <v>0</v>
      </c>
      <c r="P489" s="362">
        <f t="shared" si="44"/>
        <v>30</v>
      </c>
      <c r="Q489" s="434">
        <f t="shared" si="45"/>
        <v>681583.8882100001</v>
      </c>
    </row>
    <row r="490" spans="1:17" ht="12.75" customHeight="1">
      <c r="A490" s="345">
        <v>9</v>
      </c>
      <c r="B490" s="341" t="s">
        <v>8</v>
      </c>
      <c r="C490" s="194">
        <f>458683.77+100984.14</f>
        <v>559667.91</v>
      </c>
      <c r="D490" s="95">
        <f t="shared" si="42"/>
        <v>129283.28721000001</v>
      </c>
      <c r="E490" s="251">
        <f t="shared" si="43"/>
        <v>0</v>
      </c>
      <c r="F490" s="251">
        <f t="shared" si="43"/>
        <v>4973.71</v>
      </c>
      <c r="G490" s="251">
        <f t="shared" si="43"/>
        <v>722.78</v>
      </c>
      <c r="H490" s="251"/>
      <c r="I490" s="251">
        <f t="shared" si="43"/>
        <v>198711</v>
      </c>
      <c r="J490" s="251">
        <f t="shared" si="43"/>
        <v>0</v>
      </c>
      <c r="K490" s="251">
        <f t="shared" si="43"/>
        <v>10223</v>
      </c>
      <c r="L490" s="251">
        <f t="shared" si="46"/>
        <v>0</v>
      </c>
      <c r="M490" s="251">
        <f t="shared" si="44"/>
        <v>0</v>
      </c>
      <c r="N490" s="251">
        <f t="shared" si="44"/>
        <v>10.17</v>
      </c>
      <c r="O490" s="251">
        <f t="shared" si="44"/>
        <v>0</v>
      </c>
      <c r="P490" s="362">
        <f t="shared" si="44"/>
        <v>0</v>
      </c>
      <c r="Q490" s="434">
        <f t="shared" si="45"/>
        <v>903591.85721</v>
      </c>
    </row>
    <row r="491" spans="1:17" ht="12.75" customHeight="1">
      <c r="A491" s="345">
        <v>10</v>
      </c>
      <c r="B491" s="341" t="s">
        <v>9</v>
      </c>
      <c r="C491" s="194">
        <f>521882.33+151168.12</f>
        <v>673050.45</v>
      </c>
      <c r="D491" s="95">
        <f t="shared" si="42"/>
        <v>155474.65395</v>
      </c>
      <c r="E491" s="251">
        <f t="shared" si="43"/>
        <v>11730.047999999999</v>
      </c>
      <c r="F491" s="251">
        <f t="shared" si="43"/>
        <v>8208.21</v>
      </c>
      <c r="G491" s="251">
        <f t="shared" si="43"/>
        <v>598.3699999999999</v>
      </c>
      <c r="H491" s="251"/>
      <c r="I491" s="251">
        <f t="shared" si="43"/>
        <v>0</v>
      </c>
      <c r="J491" s="251">
        <f t="shared" si="43"/>
        <v>0</v>
      </c>
      <c r="K491" s="251">
        <f t="shared" si="43"/>
        <v>11420</v>
      </c>
      <c r="L491" s="251">
        <f t="shared" si="46"/>
        <v>142291.63999999998</v>
      </c>
      <c r="M491" s="251">
        <f t="shared" si="44"/>
        <v>0</v>
      </c>
      <c r="N491" s="251">
        <f t="shared" si="44"/>
        <v>10.16</v>
      </c>
      <c r="O491" s="251">
        <f t="shared" si="44"/>
        <v>0</v>
      </c>
      <c r="P491" s="362">
        <f t="shared" si="44"/>
        <v>0</v>
      </c>
      <c r="Q491" s="434">
        <f t="shared" si="45"/>
        <v>1002783.5319499999</v>
      </c>
    </row>
    <row r="492" spans="1:17" ht="12.75" customHeight="1">
      <c r="A492" s="345">
        <v>11</v>
      </c>
      <c r="B492" s="341" t="s">
        <v>10</v>
      </c>
      <c r="C492" s="194">
        <f>432336.25+85489.11</f>
        <v>517825.36</v>
      </c>
      <c r="D492" s="95">
        <f t="shared" si="42"/>
        <v>119617.65816</v>
      </c>
      <c r="E492" s="251">
        <f t="shared" si="43"/>
        <v>0</v>
      </c>
      <c r="F492" s="251">
        <f t="shared" si="43"/>
        <v>4403.63</v>
      </c>
      <c r="G492" s="251">
        <f t="shared" si="43"/>
        <v>623.2900000000001</v>
      </c>
      <c r="H492" s="251"/>
      <c r="I492" s="251">
        <f t="shared" si="43"/>
        <v>0</v>
      </c>
      <c r="J492" s="251">
        <f t="shared" si="43"/>
        <v>583.94</v>
      </c>
      <c r="K492" s="251">
        <f t="shared" si="43"/>
        <v>4379</v>
      </c>
      <c r="L492" s="251">
        <f t="shared" si="46"/>
        <v>0</v>
      </c>
      <c r="M492" s="251">
        <f t="shared" si="44"/>
        <v>35456</v>
      </c>
      <c r="N492" s="251">
        <f t="shared" si="44"/>
        <v>10.17</v>
      </c>
      <c r="O492" s="251">
        <f t="shared" si="44"/>
        <v>0</v>
      </c>
      <c r="P492" s="362">
        <f t="shared" si="44"/>
        <v>0</v>
      </c>
      <c r="Q492" s="434">
        <f t="shared" si="45"/>
        <v>682899.04816</v>
      </c>
    </row>
    <row r="493" spans="1:17" ht="12.75" customHeight="1">
      <c r="A493" s="345">
        <v>12</v>
      </c>
      <c r="B493" s="341" t="s">
        <v>11</v>
      </c>
      <c r="C493" s="194">
        <f>515562.1+189025.79</f>
        <v>704587.89</v>
      </c>
      <c r="D493" s="95">
        <f t="shared" si="42"/>
        <v>162759.80259</v>
      </c>
      <c r="E493" s="251">
        <f aca="true" t="shared" si="47" ref="E493:K502">E15+E53+E91+E129+E168+E207+E248+E288+E371+E328+E413+E454</f>
        <v>19329.676</v>
      </c>
      <c r="F493" s="251">
        <f t="shared" si="47"/>
        <v>6611.32</v>
      </c>
      <c r="G493" s="251">
        <f t="shared" si="47"/>
        <v>885.3699999999999</v>
      </c>
      <c r="H493" s="251"/>
      <c r="I493" s="251">
        <f t="shared" si="47"/>
        <v>0</v>
      </c>
      <c r="J493" s="251">
        <f t="shared" si="47"/>
        <v>0</v>
      </c>
      <c r="K493" s="251">
        <f t="shared" si="47"/>
        <v>18968</v>
      </c>
      <c r="L493" s="251">
        <f t="shared" si="46"/>
        <v>147721.84</v>
      </c>
      <c r="M493" s="251">
        <f t="shared" si="44"/>
        <v>0</v>
      </c>
      <c r="N493" s="251">
        <f t="shared" si="44"/>
        <v>18.41</v>
      </c>
      <c r="O493" s="251">
        <f t="shared" si="44"/>
        <v>0</v>
      </c>
      <c r="P493" s="362">
        <f t="shared" si="44"/>
        <v>0</v>
      </c>
      <c r="Q493" s="434">
        <f t="shared" si="45"/>
        <v>1060882.3085899998</v>
      </c>
    </row>
    <row r="494" spans="1:17" ht="12.75" customHeight="1">
      <c r="A494" s="345">
        <v>13</v>
      </c>
      <c r="B494" s="341" t="s">
        <v>13</v>
      </c>
      <c r="C494" s="194">
        <f>230127.65+69950.52</f>
        <v>300078.17</v>
      </c>
      <c r="D494" s="95">
        <f t="shared" si="42"/>
        <v>69318.05727</v>
      </c>
      <c r="E494" s="251">
        <f t="shared" si="47"/>
        <v>0</v>
      </c>
      <c r="F494" s="251">
        <f t="shared" si="47"/>
        <v>78.2</v>
      </c>
      <c r="G494" s="251">
        <f t="shared" si="47"/>
        <v>125.834</v>
      </c>
      <c r="H494" s="251"/>
      <c r="I494" s="251">
        <f t="shared" si="47"/>
        <v>0</v>
      </c>
      <c r="J494" s="251">
        <f t="shared" si="47"/>
        <v>0</v>
      </c>
      <c r="K494" s="251">
        <f t="shared" si="47"/>
        <v>4742</v>
      </c>
      <c r="L494" s="251">
        <f t="shared" si="46"/>
        <v>89604.07</v>
      </c>
      <c r="M494" s="251">
        <f t="shared" si="44"/>
        <v>0</v>
      </c>
      <c r="N494" s="251">
        <f t="shared" si="44"/>
        <v>10.16</v>
      </c>
      <c r="O494" s="251">
        <f t="shared" si="44"/>
        <v>0</v>
      </c>
      <c r="P494" s="362">
        <f t="shared" si="44"/>
        <v>0</v>
      </c>
      <c r="Q494" s="434">
        <f t="shared" si="45"/>
        <v>463956.49126999994</v>
      </c>
    </row>
    <row r="495" spans="1:17" ht="12.75" customHeight="1">
      <c r="A495" s="345">
        <v>14</v>
      </c>
      <c r="B495" s="341" t="s">
        <v>14</v>
      </c>
      <c r="C495" s="194">
        <f>343136.75+64623.75</f>
        <v>407760.5</v>
      </c>
      <c r="D495" s="95">
        <f t="shared" si="42"/>
        <v>94192.6755</v>
      </c>
      <c r="E495" s="251">
        <f t="shared" si="47"/>
        <v>9951.047999999999</v>
      </c>
      <c r="F495" s="251">
        <f t="shared" si="47"/>
        <v>3437.3</v>
      </c>
      <c r="G495" s="251">
        <f t="shared" si="47"/>
        <v>781.57</v>
      </c>
      <c r="H495" s="251"/>
      <c r="I495" s="251">
        <f t="shared" si="47"/>
        <v>0</v>
      </c>
      <c r="J495" s="251">
        <f t="shared" si="47"/>
        <v>586.52</v>
      </c>
      <c r="K495" s="251">
        <f t="shared" si="47"/>
        <v>4471</v>
      </c>
      <c r="L495" s="251">
        <f t="shared" si="46"/>
        <v>0</v>
      </c>
      <c r="M495" s="251">
        <f t="shared" si="44"/>
        <v>0</v>
      </c>
      <c r="N495" s="251">
        <f t="shared" si="44"/>
        <v>10.17</v>
      </c>
      <c r="O495" s="251">
        <f t="shared" si="44"/>
        <v>0</v>
      </c>
      <c r="P495" s="362">
        <f t="shared" si="44"/>
        <v>120</v>
      </c>
      <c r="Q495" s="434">
        <f t="shared" si="45"/>
        <v>521310.7835</v>
      </c>
    </row>
    <row r="496" spans="1:17" ht="12.75" customHeight="1">
      <c r="A496" s="345">
        <v>15</v>
      </c>
      <c r="B496" s="341" t="s">
        <v>15</v>
      </c>
      <c r="C496" s="194">
        <f>276186.44+60192</f>
        <v>336378.44</v>
      </c>
      <c r="D496" s="95">
        <f t="shared" si="42"/>
        <v>77703.41964000001</v>
      </c>
      <c r="E496" s="251">
        <f t="shared" si="47"/>
        <v>0</v>
      </c>
      <c r="F496" s="251">
        <f t="shared" si="47"/>
        <v>839.75</v>
      </c>
      <c r="G496" s="251">
        <f t="shared" si="47"/>
        <v>615.37</v>
      </c>
      <c r="H496" s="251"/>
      <c r="I496" s="251">
        <f t="shared" si="47"/>
        <v>0</v>
      </c>
      <c r="J496" s="251">
        <f t="shared" si="47"/>
        <v>0</v>
      </c>
      <c r="K496" s="251">
        <f t="shared" si="47"/>
        <v>5570</v>
      </c>
      <c r="L496" s="251">
        <f t="shared" si="46"/>
        <v>0</v>
      </c>
      <c r="M496" s="251">
        <f t="shared" si="44"/>
        <v>0</v>
      </c>
      <c r="N496" s="251">
        <f t="shared" si="44"/>
        <v>10.16</v>
      </c>
      <c r="O496" s="251">
        <f t="shared" si="44"/>
        <v>0</v>
      </c>
      <c r="P496" s="362">
        <f t="shared" si="44"/>
        <v>0</v>
      </c>
      <c r="Q496" s="434">
        <f t="shared" si="45"/>
        <v>421117.13964</v>
      </c>
    </row>
    <row r="497" spans="1:17" ht="12.75" customHeight="1">
      <c r="A497" s="345">
        <v>16</v>
      </c>
      <c r="B497" s="341" t="s">
        <v>16</v>
      </c>
      <c r="C497" s="194">
        <f>355858.41+96738.74</f>
        <v>452597.14999999997</v>
      </c>
      <c r="D497" s="95">
        <f t="shared" si="42"/>
        <v>104549.94165</v>
      </c>
      <c r="E497" s="251">
        <f t="shared" si="47"/>
        <v>4923.5</v>
      </c>
      <c r="F497" s="251">
        <f t="shared" si="47"/>
        <v>3603.47</v>
      </c>
      <c r="G497" s="251">
        <f t="shared" si="47"/>
        <v>496.37</v>
      </c>
      <c r="H497" s="251"/>
      <c r="I497" s="251">
        <f t="shared" si="47"/>
        <v>0</v>
      </c>
      <c r="J497" s="251">
        <f t="shared" si="47"/>
        <v>0</v>
      </c>
      <c r="K497" s="251">
        <f t="shared" si="47"/>
        <v>10162</v>
      </c>
      <c r="L497" s="251">
        <f t="shared" si="46"/>
        <v>0</v>
      </c>
      <c r="M497" s="251">
        <f t="shared" si="44"/>
        <v>0</v>
      </c>
      <c r="N497" s="251">
        <f t="shared" si="44"/>
        <v>18.41</v>
      </c>
      <c r="O497" s="251">
        <f t="shared" si="44"/>
        <v>0</v>
      </c>
      <c r="P497" s="362">
        <f t="shared" si="44"/>
        <v>60</v>
      </c>
      <c r="Q497" s="434">
        <f t="shared" si="45"/>
        <v>576410.84165</v>
      </c>
    </row>
    <row r="498" spans="1:17" ht="12.75" customHeight="1">
      <c r="A498" s="345">
        <v>17</v>
      </c>
      <c r="B498" s="341" t="s">
        <v>17</v>
      </c>
      <c r="C498" s="194">
        <f>304222.68+80492.22</f>
        <v>384714.9</v>
      </c>
      <c r="D498" s="95">
        <f t="shared" si="42"/>
        <v>88869.1419</v>
      </c>
      <c r="E498" s="251">
        <f t="shared" si="47"/>
        <v>15690.096</v>
      </c>
      <c r="F498" s="251">
        <f t="shared" si="47"/>
        <v>1983.21</v>
      </c>
      <c r="G498" s="251">
        <f t="shared" si="47"/>
        <v>1081.57</v>
      </c>
      <c r="H498" s="251"/>
      <c r="I498" s="251">
        <f t="shared" si="47"/>
        <v>0</v>
      </c>
      <c r="J498" s="251">
        <f t="shared" si="47"/>
        <v>0</v>
      </c>
      <c r="K498" s="251">
        <f t="shared" si="47"/>
        <v>6230</v>
      </c>
      <c r="L498" s="251">
        <f t="shared" si="46"/>
        <v>0</v>
      </c>
      <c r="M498" s="251">
        <f t="shared" si="44"/>
        <v>0</v>
      </c>
      <c r="N498" s="251">
        <f t="shared" si="44"/>
        <v>10.17</v>
      </c>
      <c r="O498" s="251">
        <f t="shared" si="44"/>
        <v>0</v>
      </c>
      <c r="P498" s="362">
        <f t="shared" si="44"/>
        <v>0</v>
      </c>
      <c r="Q498" s="434">
        <f t="shared" si="45"/>
        <v>498579.08790000004</v>
      </c>
    </row>
    <row r="499" spans="1:17" ht="12.75" customHeight="1">
      <c r="A499" s="345">
        <v>18</v>
      </c>
      <c r="B499" s="341" t="s">
        <v>18</v>
      </c>
      <c r="C499" s="194">
        <f>378268.01+124010.56</f>
        <v>502278.57</v>
      </c>
      <c r="D499" s="95">
        <f t="shared" si="42"/>
        <v>116026.34967000001</v>
      </c>
      <c r="E499" s="251">
        <f t="shared" si="47"/>
        <v>0</v>
      </c>
      <c r="F499" s="251">
        <f t="shared" si="47"/>
        <v>2394.44</v>
      </c>
      <c r="G499" s="251">
        <f t="shared" si="47"/>
        <v>730.612</v>
      </c>
      <c r="H499" s="251"/>
      <c r="I499" s="251">
        <f t="shared" si="47"/>
        <v>0</v>
      </c>
      <c r="J499" s="251">
        <f t="shared" si="47"/>
        <v>505.25</v>
      </c>
      <c r="K499" s="251">
        <f t="shared" si="47"/>
        <v>5986</v>
      </c>
      <c r="L499" s="251">
        <f t="shared" si="46"/>
        <v>82656.56</v>
      </c>
      <c r="M499" s="251">
        <f t="shared" si="44"/>
        <v>0</v>
      </c>
      <c r="N499" s="251">
        <f t="shared" si="44"/>
        <v>10.16</v>
      </c>
      <c r="O499" s="251">
        <f t="shared" si="44"/>
        <v>0</v>
      </c>
      <c r="P499" s="362">
        <f t="shared" si="44"/>
        <v>0</v>
      </c>
      <c r="Q499" s="434">
        <f t="shared" si="45"/>
        <v>710587.94167</v>
      </c>
    </row>
    <row r="500" spans="1:17" ht="12.75" customHeight="1">
      <c r="A500" s="345">
        <v>19</v>
      </c>
      <c r="B500" s="341" t="s">
        <v>19</v>
      </c>
      <c r="C500" s="194">
        <f>260936.61+51250.02</f>
        <v>312186.63</v>
      </c>
      <c r="D500" s="95">
        <f t="shared" si="42"/>
        <v>72115.11153000001</v>
      </c>
      <c r="E500" s="251">
        <f t="shared" si="47"/>
        <v>0</v>
      </c>
      <c r="F500" s="251">
        <f t="shared" si="47"/>
        <v>5023.51</v>
      </c>
      <c r="G500" s="251">
        <f t="shared" si="47"/>
        <v>198.38</v>
      </c>
      <c r="H500" s="251"/>
      <c r="I500" s="251">
        <f t="shared" si="47"/>
        <v>0</v>
      </c>
      <c r="J500" s="251">
        <f t="shared" si="47"/>
        <v>0</v>
      </c>
      <c r="K500" s="251">
        <f t="shared" si="47"/>
        <v>2697</v>
      </c>
      <c r="L500" s="251">
        <f t="shared" si="46"/>
        <v>0</v>
      </c>
      <c r="M500" s="251">
        <f t="shared" si="44"/>
        <v>0</v>
      </c>
      <c r="N500" s="251">
        <f t="shared" si="44"/>
        <v>10.17</v>
      </c>
      <c r="O500" s="251">
        <f t="shared" si="44"/>
        <v>0</v>
      </c>
      <c r="P500" s="362">
        <f t="shared" si="44"/>
        <v>90</v>
      </c>
      <c r="Q500" s="434">
        <f t="shared" si="45"/>
        <v>392320.80153</v>
      </c>
    </row>
    <row r="501" spans="1:17" ht="12.75" customHeight="1">
      <c r="A501" s="345">
        <v>20</v>
      </c>
      <c r="B501" s="341" t="s">
        <v>20</v>
      </c>
      <c r="C501" s="194">
        <f>192718.33+96227.42</f>
        <v>288945.75</v>
      </c>
      <c r="D501" s="95">
        <f t="shared" si="42"/>
        <v>66746.46825</v>
      </c>
      <c r="E501" s="251">
        <f t="shared" si="47"/>
        <v>0</v>
      </c>
      <c r="F501" s="251">
        <f t="shared" si="47"/>
        <v>517.48</v>
      </c>
      <c r="G501" s="251">
        <f t="shared" si="47"/>
        <v>17.06</v>
      </c>
      <c r="H501" s="251"/>
      <c r="I501" s="251">
        <f t="shared" si="47"/>
        <v>0</v>
      </c>
      <c r="J501" s="251">
        <f t="shared" si="47"/>
        <v>0</v>
      </c>
      <c r="K501" s="251">
        <f t="shared" si="47"/>
        <v>15769</v>
      </c>
      <c r="L501" s="251">
        <f t="shared" si="46"/>
        <v>0</v>
      </c>
      <c r="M501" s="251">
        <f t="shared" si="44"/>
        <v>0</v>
      </c>
      <c r="N501" s="251">
        <f t="shared" si="44"/>
        <v>10.16</v>
      </c>
      <c r="O501" s="251">
        <f t="shared" si="44"/>
        <v>0</v>
      </c>
      <c r="P501" s="362">
        <f t="shared" si="44"/>
        <v>0</v>
      </c>
      <c r="Q501" s="434">
        <f t="shared" si="45"/>
        <v>372005.91825</v>
      </c>
    </row>
    <row r="502" spans="1:18" ht="12.75" customHeight="1">
      <c r="A502" s="345">
        <v>21</v>
      </c>
      <c r="B502" s="341" t="s">
        <v>21</v>
      </c>
      <c r="C502" s="194">
        <f>256007.3+85877.36</f>
        <v>341884.66</v>
      </c>
      <c r="D502" s="95">
        <f t="shared" si="42"/>
        <v>78975.35646</v>
      </c>
      <c r="E502" s="251">
        <f t="shared" si="47"/>
        <v>0</v>
      </c>
      <c r="F502" s="251">
        <f t="shared" si="47"/>
        <v>345.51</v>
      </c>
      <c r="G502" s="251">
        <f>G24+G62+G100+G138+G177+G216+G257+G297+G380+G337+G422+G463</f>
        <v>558.3799999999999</v>
      </c>
      <c r="H502" s="251"/>
      <c r="I502" s="251">
        <f t="shared" si="47"/>
        <v>0</v>
      </c>
      <c r="J502" s="251">
        <f t="shared" si="47"/>
        <v>268.75</v>
      </c>
      <c r="K502" s="251">
        <f t="shared" si="47"/>
        <v>9246.880000000001</v>
      </c>
      <c r="L502" s="251">
        <f t="shared" si="46"/>
        <v>0</v>
      </c>
      <c r="M502" s="251">
        <f t="shared" si="44"/>
        <v>0</v>
      </c>
      <c r="N502" s="251">
        <f t="shared" si="44"/>
        <v>10.17</v>
      </c>
      <c r="O502" s="251">
        <f t="shared" si="44"/>
        <v>0</v>
      </c>
      <c r="P502" s="362">
        <f t="shared" si="44"/>
        <v>0</v>
      </c>
      <c r="Q502" s="434">
        <f t="shared" si="45"/>
        <v>431289.70645999996</v>
      </c>
      <c r="R502" s="416"/>
    </row>
    <row r="503" spans="1:17" ht="12.75" customHeight="1">
      <c r="A503" s="345">
        <v>22</v>
      </c>
      <c r="B503" s="341" t="s">
        <v>22</v>
      </c>
      <c r="C503" s="194">
        <f>279254.34+51327.21</f>
        <v>330581.55000000005</v>
      </c>
      <c r="D503" s="95">
        <f t="shared" si="42"/>
        <v>76364.33805000002</v>
      </c>
      <c r="E503" s="251">
        <f aca="true" t="shared" si="48" ref="E503:K504">E25+E63+E101+E139+E178+E217+E258+E298+E381+E338+E423+E464</f>
        <v>2447.5</v>
      </c>
      <c r="F503" s="251">
        <f t="shared" si="48"/>
        <v>2284.7799999999997</v>
      </c>
      <c r="G503" s="251">
        <f t="shared" si="48"/>
        <v>198.38</v>
      </c>
      <c r="H503" s="251"/>
      <c r="I503" s="251">
        <f t="shared" si="48"/>
        <v>0</v>
      </c>
      <c r="J503" s="251">
        <f t="shared" si="48"/>
        <v>0</v>
      </c>
      <c r="K503" s="251">
        <f t="shared" si="48"/>
        <v>6120</v>
      </c>
      <c r="L503" s="251">
        <f t="shared" si="46"/>
        <v>0</v>
      </c>
      <c r="M503" s="251">
        <f t="shared" si="44"/>
        <v>0</v>
      </c>
      <c r="N503" s="251">
        <f t="shared" si="44"/>
        <v>18.41</v>
      </c>
      <c r="O503" s="251">
        <f t="shared" si="44"/>
        <v>0</v>
      </c>
      <c r="P503" s="362">
        <f t="shared" si="44"/>
        <v>0</v>
      </c>
      <c r="Q503" s="434">
        <f t="shared" si="45"/>
        <v>418014.9580500001</v>
      </c>
    </row>
    <row r="504" spans="1:17" ht="12.75" customHeight="1">
      <c r="A504" s="345">
        <v>23</v>
      </c>
      <c r="B504" s="341" t="s">
        <v>23</v>
      </c>
      <c r="C504" s="194">
        <f>286268.22+90954.57</f>
        <v>377222.79</v>
      </c>
      <c r="D504" s="95">
        <f t="shared" si="42"/>
        <v>87138.46449</v>
      </c>
      <c r="E504" s="251">
        <f t="shared" si="48"/>
        <v>0</v>
      </c>
      <c r="F504" s="251">
        <f t="shared" si="48"/>
        <v>2828.38</v>
      </c>
      <c r="G504" s="251">
        <f t="shared" si="48"/>
        <v>740.6479999999999</v>
      </c>
      <c r="H504" s="251"/>
      <c r="I504" s="251">
        <f t="shared" si="48"/>
        <v>0</v>
      </c>
      <c r="J504" s="251">
        <f t="shared" si="48"/>
        <v>0</v>
      </c>
      <c r="K504" s="251">
        <f t="shared" si="48"/>
        <v>3219</v>
      </c>
      <c r="L504" s="251">
        <f t="shared" si="46"/>
        <v>91043.68</v>
      </c>
      <c r="M504" s="251">
        <f t="shared" si="44"/>
        <v>0</v>
      </c>
      <c r="N504" s="251">
        <f t="shared" si="44"/>
        <v>10.16</v>
      </c>
      <c r="O504" s="251">
        <f t="shared" si="44"/>
        <v>0</v>
      </c>
      <c r="P504" s="362">
        <f t="shared" si="44"/>
        <v>0</v>
      </c>
      <c r="Q504" s="434">
        <f t="shared" si="45"/>
        <v>562203.12249</v>
      </c>
    </row>
    <row r="505" spans="1:17" ht="12.75" customHeight="1">
      <c r="A505" s="345">
        <v>24</v>
      </c>
      <c r="B505" s="341" t="s">
        <v>25</v>
      </c>
      <c r="C505" s="194">
        <f>65728.46+8641.05</f>
        <v>74369.51000000001</v>
      </c>
      <c r="D505" s="95">
        <f t="shared" si="42"/>
        <v>17179.356810000005</v>
      </c>
      <c r="E505" s="251">
        <f aca="true" t="shared" si="49" ref="E505:P505">E27+E65+E103+E141+E180+E219+E260+E300+E383+E340+E425+E466</f>
        <v>0</v>
      </c>
      <c r="F505" s="251">
        <f t="shared" si="49"/>
        <v>0</v>
      </c>
      <c r="G505" s="251">
        <f t="shared" si="49"/>
        <v>0</v>
      </c>
      <c r="H505" s="251"/>
      <c r="I505" s="251">
        <f t="shared" si="49"/>
        <v>0</v>
      </c>
      <c r="J505" s="251">
        <f t="shared" si="49"/>
        <v>0</v>
      </c>
      <c r="K505" s="251">
        <f t="shared" si="49"/>
        <v>363.1</v>
      </c>
      <c r="L505" s="251">
        <f t="shared" si="49"/>
        <v>0</v>
      </c>
      <c r="M505" s="251">
        <f t="shared" si="49"/>
        <v>0</v>
      </c>
      <c r="N505" s="251">
        <f t="shared" si="49"/>
        <v>18.41</v>
      </c>
      <c r="O505" s="251">
        <f t="shared" si="49"/>
        <v>0</v>
      </c>
      <c r="P505" s="362">
        <f t="shared" si="49"/>
        <v>0</v>
      </c>
      <c r="Q505" s="434">
        <f t="shared" si="45"/>
        <v>91930.37681000002</v>
      </c>
    </row>
    <row r="506" spans="1:17" ht="12.75" customHeight="1">
      <c r="A506" s="345">
        <v>25</v>
      </c>
      <c r="B506" s="341" t="s">
        <v>26</v>
      </c>
      <c r="C506" s="194">
        <f>84933.27+17017.8</f>
        <v>101951.07</v>
      </c>
      <c r="D506" s="95">
        <f t="shared" si="42"/>
        <v>23550.697170000003</v>
      </c>
      <c r="E506" s="251">
        <f aca="true" t="shared" si="50" ref="E506:M506">E28+E66+E104+E142+E181+E220+E261+E301+E384+E341+E426+E467</f>
        <v>0</v>
      </c>
      <c r="F506" s="251">
        <f t="shared" si="50"/>
        <v>0</v>
      </c>
      <c r="G506" s="251">
        <f t="shared" si="50"/>
        <v>0</v>
      </c>
      <c r="H506" s="251"/>
      <c r="I506" s="251">
        <f t="shared" si="50"/>
        <v>0</v>
      </c>
      <c r="J506" s="251">
        <f t="shared" si="50"/>
        <v>0</v>
      </c>
      <c r="K506" s="251">
        <f t="shared" si="50"/>
        <v>431</v>
      </c>
      <c r="L506" s="251">
        <f t="shared" si="50"/>
        <v>0</v>
      </c>
      <c r="M506" s="251">
        <f t="shared" si="50"/>
        <v>0</v>
      </c>
      <c r="N506" s="251">
        <f>N28+N66+N104+N142+N181+N220+N261+N301+N384+N341+N426+N466</f>
        <v>10.17</v>
      </c>
      <c r="O506" s="251">
        <f>O28+O66+O104+O142+O181+O220+O261+O301+O384+O341+O426+O467</f>
        <v>0</v>
      </c>
      <c r="P506" s="362">
        <f>P28+P66+P104+P142+P181+P220+P261+P301+P384+P341+P426+P467</f>
        <v>0</v>
      </c>
      <c r="Q506" s="434">
        <f t="shared" si="45"/>
        <v>125942.93717</v>
      </c>
    </row>
    <row r="507" spans="1:17" ht="12.75" customHeight="1">
      <c r="A507" s="345">
        <v>26</v>
      </c>
      <c r="B507" s="341" t="s">
        <v>29</v>
      </c>
      <c r="C507" s="194">
        <f>74414.5+5848.8</f>
        <v>80263.3</v>
      </c>
      <c r="D507" s="95">
        <f t="shared" si="42"/>
        <v>18540.8223</v>
      </c>
      <c r="E507" s="251">
        <f aca="true" t="shared" si="51" ref="E507:M507">E29+E67+E105+E143+E182+E262+E302+E385+E342+E427+E468+E221</f>
        <v>0</v>
      </c>
      <c r="F507" s="251">
        <f t="shared" si="51"/>
        <v>0</v>
      </c>
      <c r="G507" s="251">
        <f t="shared" si="51"/>
        <v>0</v>
      </c>
      <c r="H507" s="251"/>
      <c r="I507" s="251">
        <f t="shared" si="51"/>
        <v>0</v>
      </c>
      <c r="J507" s="251">
        <f t="shared" si="51"/>
        <v>0</v>
      </c>
      <c r="K507" s="251">
        <f t="shared" si="51"/>
        <v>128</v>
      </c>
      <c r="L507" s="251">
        <f t="shared" si="51"/>
        <v>0</v>
      </c>
      <c r="M507" s="251">
        <f t="shared" si="51"/>
        <v>0</v>
      </c>
      <c r="N507" s="251">
        <f>N29+N67+N105+N143+N182+N221+N262+N302+N385+N342+N427+N467</f>
        <v>10.16</v>
      </c>
      <c r="O507" s="251">
        <f>O29+O67+O105+O143+O182+O262+O302+O385+O342+O427+O468+O221</f>
        <v>0</v>
      </c>
      <c r="P507" s="362">
        <f>P29+P67+P105+P143+P182+P262+P302+P385+P342+P427+P468+P221</f>
        <v>0</v>
      </c>
      <c r="Q507" s="434">
        <f t="shared" si="45"/>
        <v>98942.2823</v>
      </c>
    </row>
    <row r="508" spans="1:17" ht="12.75" customHeight="1">
      <c r="A508" s="345">
        <v>27</v>
      </c>
      <c r="B508" s="341" t="s">
        <v>31</v>
      </c>
      <c r="C508" s="194">
        <f>52455.65+5584.5</f>
        <v>58040.15</v>
      </c>
      <c r="D508" s="95">
        <f t="shared" si="42"/>
        <v>13407.274650000001</v>
      </c>
      <c r="E508" s="251">
        <f aca="true" t="shared" si="52" ref="E508:P508">E30+E68+E106+E144+E183+E222+E263+E303+E386+E343+E428+E469</f>
        <v>0</v>
      </c>
      <c r="F508" s="251">
        <f t="shared" si="52"/>
        <v>1670.42</v>
      </c>
      <c r="G508" s="251">
        <f t="shared" si="52"/>
        <v>0</v>
      </c>
      <c r="H508" s="251"/>
      <c r="I508" s="251">
        <f t="shared" si="52"/>
        <v>0</v>
      </c>
      <c r="J508" s="251">
        <f t="shared" si="52"/>
        <v>0</v>
      </c>
      <c r="K508" s="251">
        <f t="shared" si="52"/>
        <v>2905</v>
      </c>
      <c r="L508" s="251">
        <f t="shared" si="52"/>
        <v>2784.3999999999996</v>
      </c>
      <c r="M508" s="251">
        <f t="shared" si="52"/>
        <v>0</v>
      </c>
      <c r="N508" s="251">
        <f t="shared" si="52"/>
        <v>10.17</v>
      </c>
      <c r="O508" s="251">
        <f t="shared" si="52"/>
        <v>0</v>
      </c>
      <c r="P508" s="362">
        <f t="shared" si="52"/>
        <v>0</v>
      </c>
      <c r="Q508" s="434">
        <f t="shared" si="45"/>
        <v>78817.41464999999</v>
      </c>
    </row>
    <row r="509" spans="1:17" ht="12.75" customHeight="1">
      <c r="A509" s="345">
        <v>28</v>
      </c>
      <c r="B509" s="341" t="s">
        <v>32</v>
      </c>
      <c r="C509" s="194">
        <f>86089.19+8641.05</f>
        <v>94730.24</v>
      </c>
      <c r="D509" s="95">
        <f t="shared" si="42"/>
        <v>21882.68544</v>
      </c>
      <c r="E509" s="251">
        <f aca="true" t="shared" si="53" ref="E509:P509">E31+E69+E107+E145+E184+E223+E264+E304+E387+E344+E429+E470</f>
        <v>0</v>
      </c>
      <c r="F509" s="251">
        <f t="shared" si="53"/>
        <v>0</v>
      </c>
      <c r="G509" s="251">
        <f t="shared" si="53"/>
        <v>0</v>
      </c>
      <c r="H509" s="251"/>
      <c r="I509" s="251">
        <f t="shared" si="53"/>
        <v>0</v>
      </c>
      <c r="J509" s="251">
        <f t="shared" si="53"/>
        <v>0</v>
      </c>
      <c r="K509" s="251">
        <f t="shared" si="53"/>
        <v>131</v>
      </c>
      <c r="L509" s="251">
        <f t="shared" si="53"/>
        <v>0</v>
      </c>
      <c r="M509" s="251">
        <f t="shared" si="53"/>
        <v>0</v>
      </c>
      <c r="N509" s="251">
        <f t="shared" si="53"/>
        <v>10.16</v>
      </c>
      <c r="O509" s="251">
        <f t="shared" si="53"/>
        <v>0</v>
      </c>
      <c r="P509" s="362">
        <f t="shared" si="53"/>
        <v>0</v>
      </c>
      <c r="Q509" s="434">
        <f t="shared" si="45"/>
        <v>116754.08544000001</v>
      </c>
    </row>
    <row r="510" spans="1:17" ht="12.75" customHeight="1">
      <c r="A510" s="345">
        <v>29</v>
      </c>
      <c r="B510" s="341" t="s">
        <v>34</v>
      </c>
      <c r="C510" s="194">
        <f>60618.99+5848.8</f>
        <v>66467.79</v>
      </c>
      <c r="D510" s="95">
        <f t="shared" si="42"/>
        <v>15354.05949</v>
      </c>
      <c r="E510" s="251">
        <f aca="true" t="shared" si="54" ref="E510:M511">E32+E70+E108+E146+E185+E224+E265+E305+E388+E345+E430+E471</f>
        <v>0</v>
      </c>
      <c r="F510" s="251">
        <f t="shared" si="54"/>
        <v>0</v>
      </c>
      <c r="G510" s="251">
        <f t="shared" si="54"/>
        <v>0</v>
      </c>
      <c r="H510" s="251"/>
      <c r="I510" s="251">
        <f t="shared" si="54"/>
        <v>0</v>
      </c>
      <c r="J510" s="251">
        <f t="shared" si="54"/>
        <v>0</v>
      </c>
      <c r="K510" s="251">
        <f t="shared" si="54"/>
        <v>431</v>
      </c>
      <c r="L510" s="251">
        <f t="shared" si="54"/>
        <v>0</v>
      </c>
      <c r="M510" s="251">
        <f t="shared" si="54"/>
        <v>0</v>
      </c>
      <c r="N510" s="251">
        <f>N32+N70+N108+N146+N185+N224+N265+N305+N388+N345+N430+N468</f>
        <v>10.17</v>
      </c>
      <c r="O510" s="251">
        <f>O32+O70+O108+O146+O185+O224+O265+O305+O388+O345+O430+O471</f>
        <v>0</v>
      </c>
      <c r="P510" s="362">
        <f>P32+P70+P108+P146+P185+P224+P265+P305+P388+P345+P430+P471</f>
        <v>0</v>
      </c>
      <c r="Q510" s="434">
        <f t="shared" si="45"/>
        <v>82263.01948999999</v>
      </c>
    </row>
    <row r="511" spans="1:17" ht="12.75" customHeight="1">
      <c r="A511" s="345">
        <v>30</v>
      </c>
      <c r="B511" s="403" t="s">
        <v>41</v>
      </c>
      <c r="C511" s="194">
        <v>89440.94</v>
      </c>
      <c r="D511" s="95">
        <f t="shared" si="42"/>
        <v>20660.85714</v>
      </c>
      <c r="E511" s="251">
        <f t="shared" si="54"/>
        <v>0</v>
      </c>
      <c r="F511" s="251">
        <f t="shared" si="54"/>
        <v>0</v>
      </c>
      <c r="G511" s="251">
        <f t="shared" si="54"/>
        <v>198.29</v>
      </c>
      <c r="H511" s="251"/>
      <c r="I511" s="251">
        <f t="shared" si="54"/>
        <v>0</v>
      </c>
      <c r="J511" s="251">
        <f t="shared" si="54"/>
        <v>0</v>
      </c>
      <c r="K511" s="251">
        <f t="shared" si="54"/>
        <v>0</v>
      </c>
      <c r="L511" s="251">
        <f t="shared" si="54"/>
        <v>0</v>
      </c>
      <c r="M511" s="251">
        <f t="shared" si="54"/>
        <v>0</v>
      </c>
      <c r="N511" s="251">
        <f>N33+N71+N109+N147+N186+N225+N266+N306+N389+N346+N431+N469</f>
        <v>0</v>
      </c>
      <c r="O511" s="251">
        <f>O33+O71+O109+O147+O186+O225+O266+O306+O389+O346+O431+O472</f>
        <v>0</v>
      </c>
      <c r="P511" s="362">
        <f>P33+P71+P109+P147+P186+P225+P266+P306+P389+P346+P431+P472</f>
        <v>0</v>
      </c>
      <c r="Q511" s="434">
        <f t="shared" si="45"/>
        <v>110300.08714</v>
      </c>
    </row>
    <row r="512" spans="1:17" ht="12.75" customHeight="1" thickBot="1">
      <c r="A512" s="345"/>
      <c r="B512" s="404"/>
      <c r="C512" s="225"/>
      <c r="D512" s="237"/>
      <c r="E512" s="251"/>
      <c r="F512" s="251"/>
      <c r="G512" s="251"/>
      <c r="H512" s="251"/>
      <c r="I512" s="251"/>
      <c r="J512" s="251"/>
      <c r="K512" s="251"/>
      <c r="L512" s="251"/>
      <c r="M512" s="251"/>
      <c r="N512" s="251"/>
      <c r="O512" s="251"/>
      <c r="P512" s="251"/>
      <c r="Q512" s="364"/>
    </row>
    <row r="513" spans="1:17" ht="12.75" customHeight="1" thickBot="1">
      <c r="A513" s="355"/>
      <c r="B513" s="405" t="s">
        <v>12</v>
      </c>
      <c r="C513" s="195">
        <f>SUM(C482:C512)</f>
        <v>13241260.150000002</v>
      </c>
      <c r="D513" s="195">
        <f>SUM(D482:D512)</f>
        <v>3058731.09465</v>
      </c>
      <c r="E513" s="185">
        <f>SUM(E482:E511)+E512</f>
        <v>182641.736</v>
      </c>
      <c r="F513" s="185">
        <f aca="true" t="shared" si="55" ref="F513:P513">SUM(F482:F511)+F512</f>
        <v>111221.12999999999</v>
      </c>
      <c r="G513" s="185">
        <f>SUM(G482:G511)+G512</f>
        <v>16707.826</v>
      </c>
      <c r="H513" s="185"/>
      <c r="I513" s="185">
        <f t="shared" si="55"/>
        <v>521089.18</v>
      </c>
      <c r="J513" s="185">
        <f t="shared" si="55"/>
        <v>20051.120000000003</v>
      </c>
      <c r="K513" s="185">
        <f>SUM(K482:K511)+K512</f>
        <v>284285.63999999996</v>
      </c>
      <c r="L513" s="424">
        <f>SUM(L482:L511)+L512</f>
        <v>810372.33</v>
      </c>
      <c r="M513" s="185">
        <f t="shared" si="55"/>
        <v>40450.22</v>
      </c>
      <c r="N513" s="185">
        <f t="shared" si="55"/>
        <v>392.0400000000002</v>
      </c>
      <c r="O513" s="185">
        <f t="shared" si="55"/>
        <v>0</v>
      </c>
      <c r="P513" s="185">
        <f t="shared" si="55"/>
        <v>810</v>
      </c>
      <c r="Q513" s="177">
        <f>SUM(Q482:Q512)</f>
        <v>18288012.466649998</v>
      </c>
    </row>
    <row r="514" spans="1:17" ht="12.75" customHeight="1" thickBot="1">
      <c r="A514" s="356"/>
      <c r="B514" s="354"/>
      <c r="C514" s="207">
        <v>2111</v>
      </c>
      <c r="D514" s="207">
        <v>2120</v>
      </c>
      <c r="E514" s="207">
        <v>2210</v>
      </c>
      <c r="F514" s="321">
        <v>2230</v>
      </c>
      <c r="G514" s="321">
        <v>2240</v>
      </c>
      <c r="H514" s="321"/>
      <c r="I514" s="321">
        <v>2271</v>
      </c>
      <c r="J514" s="322">
        <v>2272</v>
      </c>
      <c r="K514" s="322">
        <v>2273</v>
      </c>
      <c r="L514" s="321">
        <v>2274</v>
      </c>
      <c r="M514" s="321">
        <v>2275</v>
      </c>
      <c r="N514" s="321">
        <v>2800</v>
      </c>
      <c r="O514" s="321">
        <v>2730</v>
      </c>
      <c r="P514" s="322">
        <v>2282</v>
      </c>
      <c r="Q514" s="177">
        <f>C513+D513+E513+F513+G513+I513+J513+K513+L513+M513+N513+O513+P513</f>
        <v>18288012.46665</v>
      </c>
    </row>
    <row r="515" spans="2:17" ht="12.75" customHeight="1">
      <c r="B515" s="63"/>
      <c r="C515" s="252"/>
      <c r="D515" s="252"/>
      <c r="E515" s="252"/>
      <c r="F515" s="252"/>
      <c r="G515" s="252"/>
      <c r="H515" s="252"/>
      <c r="I515" s="252"/>
      <c r="J515" s="238"/>
      <c r="K515" s="252"/>
      <c r="L515" s="252"/>
      <c r="M515" s="252"/>
      <c r="N515" s="252"/>
      <c r="O515" s="252"/>
      <c r="P515" s="252"/>
      <c r="Q515" s="208"/>
    </row>
    <row r="516" spans="2:17" ht="12.75" customHeight="1">
      <c r="B516" s="337"/>
      <c r="C516" s="72"/>
      <c r="D516" s="72"/>
      <c r="E516" s="252"/>
      <c r="F516" s="252"/>
      <c r="G516" s="252"/>
      <c r="H516" s="252"/>
      <c r="I516" s="252"/>
      <c r="J516" s="238"/>
      <c r="K516" s="252"/>
      <c r="L516" s="252"/>
      <c r="M516" s="252"/>
      <c r="N516" s="252"/>
      <c r="O516" s="252"/>
      <c r="P516" s="252"/>
      <c r="Q516" s="252"/>
    </row>
    <row r="517" spans="2:17" ht="12.75" customHeight="1">
      <c r="B517" s="245"/>
      <c r="E517" s="252"/>
      <c r="F517" s="252"/>
      <c r="G517" s="252"/>
      <c r="H517" s="252"/>
      <c r="I517" s="252"/>
      <c r="J517" s="252"/>
      <c r="K517" s="252"/>
      <c r="L517" s="252"/>
      <c r="M517" s="252"/>
      <c r="N517" s="252"/>
      <c r="O517" s="252"/>
      <c r="P517" s="252"/>
      <c r="Q517" s="178"/>
    </row>
    <row r="518" spans="5:16" ht="12.75" customHeight="1">
      <c r="E518" s="72"/>
      <c r="F518" s="238"/>
      <c r="G518" s="238"/>
      <c r="H518" s="238"/>
      <c r="I518" s="178"/>
      <c r="J518" s="178"/>
      <c r="K518" s="178"/>
      <c r="L518" s="178"/>
      <c r="M518" s="178"/>
      <c r="N518" s="178"/>
      <c r="O518" s="178"/>
      <c r="P518" s="178"/>
    </row>
    <row r="519" spans="6:16" ht="12.75" customHeight="1">
      <c r="F519" s="178"/>
      <c r="G519" s="178"/>
      <c r="H519" s="178"/>
      <c r="I519" s="178"/>
      <c r="J519" s="178"/>
      <c r="K519" s="178"/>
      <c r="L519" s="178"/>
      <c r="M519" s="178"/>
      <c r="N519" s="178"/>
      <c r="O519" s="178"/>
      <c r="P519" s="178"/>
    </row>
    <row r="520" spans="6:16" ht="12.75" customHeight="1">
      <c r="F520" s="178"/>
      <c r="G520" s="178"/>
      <c r="H520" s="178"/>
      <c r="I520" s="178"/>
      <c r="J520" s="178"/>
      <c r="K520" s="178"/>
      <c r="L520" s="178"/>
      <c r="M520" s="178"/>
      <c r="N520" s="178"/>
      <c r="O520" s="178"/>
      <c r="P520" s="178"/>
    </row>
  </sheetData>
  <sheetProtection/>
  <mergeCells count="15">
    <mergeCell ref="B155:Q155"/>
    <mergeCell ref="B194:Q194"/>
    <mergeCell ref="B235:Q235"/>
    <mergeCell ref="B315:Q315"/>
    <mergeCell ref="B234:Q234"/>
    <mergeCell ref="B480:Q480"/>
    <mergeCell ref="B358:Q358"/>
    <mergeCell ref="B400:Q400"/>
    <mergeCell ref="B275:Q275"/>
    <mergeCell ref="B441:Q441"/>
    <mergeCell ref="B153:Q153"/>
    <mergeCell ref="B2:Q2"/>
    <mergeCell ref="B40:Q40"/>
    <mergeCell ref="B78:Q78"/>
    <mergeCell ref="B116:Q116"/>
  </mergeCells>
  <printOptions/>
  <pageMargins left="0" right="0" top="0" bottom="0" header="0.8" footer="0"/>
  <pageSetup horizontalDpi="600" verticalDpi="600" orientation="landscape" paperSize="9" scale="73" r:id="rId1"/>
  <rowBreaks count="12" manualBreakCount="12">
    <brk id="38" max="255" man="1"/>
    <brk id="76" max="255" man="1"/>
    <brk id="114" max="255" man="1"/>
    <brk id="153" max="255" man="1"/>
    <brk id="192" max="255" man="1"/>
    <brk id="231" max="255" man="1"/>
    <brk id="271" max="255" man="1"/>
    <brk id="311" max="255" man="1"/>
    <brk id="353" max="255" man="1"/>
    <brk id="395" max="255" man="1"/>
    <brk id="437" max="255" man="1"/>
    <brk id="47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R555"/>
  <sheetViews>
    <sheetView zoomScalePageLayoutView="0" workbookViewId="0" topLeftCell="A46">
      <selection activeCell="G70" sqref="G70"/>
    </sheetView>
  </sheetViews>
  <sheetFormatPr defaultColWidth="9.140625" defaultRowHeight="12.75"/>
  <cols>
    <col min="1" max="1" width="3.7109375" style="0" customWidth="1"/>
    <col min="2" max="2" width="18.421875" style="0" customWidth="1"/>
    <col min="18" max="18" width="11.57421875" style="0" customWidth="1"/>
  </cols>
  <sheetData>
    <row r="1" ht="13.5" customHeight="1"/>
    <row r="2" spans="2:18" ht="13.5" customHeight="1" thickBot="1">
      <c r="B2" s="436" t="s">
        <v>54</v>
      </c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  <c r="R2" s="436"/>
    </row>
    <row r="3" spans="1:18" ht="13.5" customHeight="1" thickBot="1">
      <c r="A3" s="343"/>
      <c r="B3" s="14" t="s">
        <v>36</v>
      </c>
      <c r="C3" s="207">
        <v>2110</v>
      </c>
      <c r="D3" s="207">
        <v>2111</v>
      </c>
      <c r="E3" s="207">
        <v>2210</v>
      </c>
      <c r="F3" s="120">
        <v>2220</v>
      </c>
      <c r="G3" s="120">
        <v>2230</v>
      </c>
      <c r="H3" s="120">
        <v>2240</v>
      </c>
      <c r="I3" s="120">
        <v>2800</v>
      </c>
      <c r="J3" s="120">
        <v>2250</v>
      </c>
      <c r="K3" s="15">
        <v>2272</v>
      </c>
      <c r="L3" s="15">
        <v>2273</v>
      </c>
      <c r="M3" s="121">
        <v>2274</v>
      </c>
      <c r="N3" s="121">
        <v>2275</v>
      </c>
      <c r="O3" s="121">
        <v>3110</v>
      </c>
      <c r="P3" s="15">
        <v>2730</v>
      </c>
      <c r="Q3" s="16">
        <v>2271</v>
      </c>
      <c r="R3" s="218" t="s">
        <v>35</v>
      </c>
    </row>
    <row r="4" spans="1:18" ht="13.5" customHeight="1">
      <c r="A4" s="344">
        <v>1</v>
      </c>
      <c r="B4" s="340" t="s">
        <v>0</v>
      </c>
      <c r="C4" s="213"/>
      <c r="D4" s="214"/>
      <c r="E4" s="214"/>
      <c r="F4" s="215"/>
      <c r="G4" s="97"/>
      <c r="H4" s="97"/>
      <c r="I4" s="97"/>
      <c r="J4" s="215"/>
      <c r="K4" s="9"/>
      <c r="L4" s="33"/>
      <c r="M4" s="9"/>
      <c r="N4" s="12"/>
      <c r="O4" s="216"/>
      <c r="P4" s="216"/>
      <c r="Q4" s="217"/>
      <c r="R4" s="31">
        <f aca="true" t="shared" si="0" ref="R4:R35">SUM(E4:P4)+D4+C4+Q4</f>
        <v>0</v>
      </c>
    </row>
    <row r="5" spans="1:18" ht="13.5" customHeight="1">
      <c r="A5" s="345">
        <v>2</v>
      </c>
      <c r="B5" s="341" t="s">
        <v>1</v>
      </c>
      <c r="C5" s="194"/>
      <c r="D5" s="114"/>
      <c r="E5" s="114"/>
      <c r="F5" s="98"/>
      <c r="G5" s="95"/>
      <c r="H5" s="95"/>
      <c r="I5" s="95"/>
      <c r="J5" s="98"/>
      <c r="K5" s="4"/>
      <c r="L5" s="29"/>
      <c r="M5" s="29"/>
      <c r="N5" s="6"/>
      <c r="O5" s="1"/>
      <c r="P5" s="1"/>
      <c r="Q5" s="26"/>
      <c r="R5" s="37">
        <f t="shared" si="0"/>
        <v>0</v>
      </c>
    </row>
    <row r="6" spans="1:18" ht="13.5" customHeight="1">
      <c r="A6" s="345">
        <v>3</v>
      </c>
      <c r="B6" s="341" t="s">
        <v>2</v>
      </c>
      <c r="C6" s="194"/>
      <c r="D6" s="114"/>
      <c r="E6" s="114"/>
      <c r="F6" s="98"/>
      <c r="G6" s="95"/>
      <c r="H6" s="95"/>
      <c r="I6" s="95"/>
      <c r="J6" s="99"/>
      <c r="K6" s="4"/>
      <c r="L6" s="29"/>
      <c r="M6" s="29"/>
      <c r="N6" s="6"/>
      <c r="O6" s="1"/>
      <c r="P6" s="1"/>
      <c r="Q6" s="26"/>
      <c r="R6" s="37">
        <f t="shared" si="0"/>
        <v>0</v>
      </c>
    </row>
    <row r="7" spans="1:18" ht="13.5" customHeight="1">
      <c r="A7" s="345">
        <v>4</v>
      </c>
      <c r="B7" s="341" t="s">
        <v>3</v>
      </c>
      <c r="C7" s="194"/>
      <c r="D7" s="114"/>
      <c r="E7" s="114"/>
      <c r="F7" s="98"/>
      <c r="G7" s="95"/>
      <c r="H7" s="95"/>
      <c r="I7" s="95"/>
      <c r="J7" s="98"/>
      <c r="K7" s="4"/>
      <c r="L7" s="29"/>
      <c r="M7" s="29"/>
      <c r="N7" s="6"/>
      <c r="O7" s="1"/>
      <c r="P7" s="1"/>
      <c r="Q7" s="26"/>
      <c r="R7" s="37">
        <f t="shared" si="0"/>
        <v>0</v>
      </c>
    </row>
    <row r="8" spans="1:18" ht="13.5" customHeight="1">
      <c r="A8" s="345">
        <v>5</v>
      </c>
      <c r="B8" s="341" t="s">
        <v>4</v>
      </c>
      <c r="C8" s="194"/>
      <c r="D8" s="114"/>
      <c r="E8" s="114"/>
      <c r="F8" s="98"/>
      <c r="G8" s="95"/>
      <c r="H8" s="95"/>
      <c r="I8" s="95"/>
      <c r="J8" s="99"/>
      <c r="K8" s="4"/>
      <c r="L8" s="29"/>
      <c r="M8" s="29"/>
      <c r="N8" s="6"/>
      <c r="O8" s="1"/>
      <c r="P8" s="1"/>
      <c r="Q8" s="26"/>
      <c r="R8" s="37">
        <f t="shared" si="0"/>
        <v>0</v>
      </c>
    </row>
    <row r="9" spans="1:18" ht="13.5" customHeight="1">
      <c r="A9" s="345">
        <v>6</v>
      </c>
      <c r="B9" s="341" t="s">
        <v>5</v>
      </c>
      <c r="C9" s="212"/>
      <c r="D9" s="114"/>
      <c r="E9" s="114"/>
      <c r="F9" s="98"/>
      <c r="G9" s="95"/>
      <c r="H9" s="95"/>
      <c r="I9" s="95"/>
      <c r="J9" s="99"/>
      <c r="K9" s="29"/>
      <c r="L9" s="29"/>
      <c r="M9" s="29"/>
      <c r="N9" s="6"/>
      <c r="O9" s="1"/>
      <c r="P9" s="1"/>
      <c r="Q9" s="26"/>
      <c r="R9" s="37">
        <f>SUM(E9:P9)+D9+C9+Q9</f>
        <v>0</v>
      </c>
    </row>
    <row r="10" spans="1:18" ht="13.5" customHeight="1">
      <c r="A10" s="345">
        <v>7</v>
      </c>
      <c r="B10" s="341" t="s">
        <v>6</v>
      </c>
      <c r="C10" s="212"/>
      <c r="D10" s="114"/>
      <c r="E10" s="114"/>
      <c r="F10" s="98"/>
      <c r="G10" s="95"/>
      <c r="H10" s="95"/>
      <c r="I10" s="95"/>
      <c r="J10" s="98"/>
      <c r="K10" s="4"/>
      <c r="L10" s="29"/>
      <c r="M10" s="29"/>
      <c r="N10" s="6"/>
      <c r="O10" s="1"/>
      <c r="P10" s="1"/>
      <c r="Q10" s="26"/>
      <c r="R10" s="37">
        <f t="shared" si="0"/>
        <v>0</v>
      </c>
    </row>
    <row r="11" spans="1:18" ht="13.5" customHeight="1">
      <c r="A11" s="345">
        <v>8</v>
      </c>
      <c r="B11" s="341" t="s">
        <v>7</v>
      </c>
      <c r="C11" s="212"/>
      <c r="D11" s="114"/>
      <c r="E11" s="114"/>
      <c r="F11" s="99"/>
      <c r="G11" s="95"/>
      <c r="H11" s="95"/>
      <c r="I11" s="95"/>
      <c r="J11" s="98"/>
      <c r="K11" s="29"/>
      <c r="L11" s="29"/>
      <c r="M11" s="29"/>
      <c r="N11" s="4"/>
      <c r="O11" s="1"/>
      <c r="P11" s="1"/>
      <c r="Q11" s="26"/>
      <c r="R11" s="37">
        <f t="shared" si="0"/>
        <v>0</v>
      </c>
    </row>
    <row r="12" spans="1:18" ht="13.5" customHeight="1">
      <c r="A12" s="345">
        <v>9</v>
      </c>
      <c r="B12" s="341" t="s">
        <v>8</v>
      </c>
      <c r="C12" s="212"/>
      <c r="D12" s="114"/>
      <c r="E12" s="95"/>
      <c r="F12" s="98"/>
      <c r="G12" s="95"/>
      <c r="H12" s="95"/>
      <c r="I12" s="95"/>
      <c r="J12" s="98"/>
      <c r="K12" s="4"/>
      <c r="L12" s="29"/>
      <c r="M12" s="29"/>
      <c r="N12" s="6"/>
      <c r="O12" s="1"/>
      <c r="P12" s="1"/>
      <c r="Q12" s="26"/>
      <c r="R12" s="37">
        <f t="shared" si="0"/>
        <v>0</v>
      </c>
    </row>
    <row r="13" spans="1:18" ht="13.5" customHeight="1">
      <c r="A13" s="345">
        <v>10</v>
      </c>
      <c r="B13" s="341" t="s">
        <v>9</v>
      </c>
      <c r="C13" s="212"/>
      <c r="D13" s="114"/>
      <c r="E13" s="95"/>
      <c r="F13" s="98"/>
      <c r="G13" s="95"/>
      <c r="H13" s="95"/>
      <c r="I13" s="95"/>
      <c r="J13" s="98"/>
      <c r="K13" s="4"/>
      <c r="L13" s="29"/>
      <c r="M13" s="29"/>
      <c r="N13" s="6"/>
      <c r="O13" s="1"/>
      <c r="P13" s="1"/>
      <c r="Q13" s="26"/>
      <c r="R13" s="37">
        <f t="shared" si="0"/>
        <v>0</v>
      </c>
    </row>
    <row r="14" spans="1:18" ht="13.5" customHeight="1">
      <c r="A14" s="345">
        <v>11</v>
      </c>
      <c r="B14" s="341" t="s">
        <v>10</v>
      </c>
      <c r="C14" s="212"/>
      <c r="D14" s="114"/>
      <c r="E14" s="95"/>
      <c r="F14" s="98"/>
      <c r="G14" s="95"/>
      <c r="H14" s="95"/>
      <c r="I14" s="95"/>
      <c r="J14" s="98"/>
      <c r="K14" s="36"/>
      <c r="L14" s="29"/>
      <c r="M14" s="29"/>
      <c r="N14" s="4"/>
      <c r="O14" s="1"/>
      <c r="P14" s="1"/>
      <c r="Q14" s="26"/>
      <c r="R14" s="37">
        <f t="shared" si="0"/>
        <v>0</v>
      </c>
    </row>
    <row r="15" spans="1:18" ht="13.5" customHeight="1">
      <c r="A15" s="345">
        <v>12</v>
      </c>
      <c r="B15" s="341" t="s">
        <v>11</v>
      </c>
      <c r="C15" s="212"/>
      <c r="D15" s="114"/>
      <c r="E15" s="95"/>
      <c r="F15" s="98"/>
      <c r="G15" s="95"/>
      <c r="H15" s="95"/>
      <c r="I15" s="95"/>
      <c r="J15" s="98"/>
      <c r="K15" s="4"/>
      <c r="L15" s="29"/>
      <c r="M15" s="29"/>
      <c r="N15" s="4"/>
      <c r="O15" s="1"/>
      <c r="P15" s="1"/>
      <c r="Q15" s="26"/>
      <c r="R15" s="37">
        <f t="shared" si="0"/>
        <v>0</v>
      </c>
    </row>
    <row r="16" spans="1:18" ht="13.5" customHeight="1">
      <c r="A16" s="345">
        <v>13</v>
      </c>
      <c r="B16" s="341" t="s">
        <v>13</v>
      </c>
      <c r="C16" s="212"/>
      <c r="D16" s="114"/>
      <c r="E16" s="95"/>
      <c r="F16" s="98"/>
      <c r="G16" s="95"/>
      <c r="H16" s="95"/>
      <c r="I16" s="95"/>
      <c r="J16" s="98"/>
      <c r="K16" s="4"/>
      <c r="L16" s="29"/>
      <c r="M16" s="29"/>
      <c r="N16" s="4"/>
      <c r="O16" s="1"/>
      <c r="P16" s="1"/>
      <c r="Q16" s="26"/>
      <c r="R16" s="37">
        <f t="shared" si="0"/>
        <v>0</v>
      </c>
    </row>
    <row r="17" spans="1:18" ht="13.5" customHeight="1">
      <c r="A17" s="345">
        <v>14</v>
      </c>
      <c r="B17" s="341" t="s">
        <v>14</v>
      </c>
      <c r="C17" s="212"/>
      <c r="D17" s="114"/>
      <c r="E17" s="95"/>
      <c r="F17" s="98"/>
      <c r="G17" s="95"/>
      <c r="H17" s="95"/>
      <c r="I17" s="95"/>
      <c r="J17" s="98"/>
      <c r="K17" s="29"/>
      <c r="L17" s="29"/>
      <c r="M17" s="29"/>
      <c r="N17" s="4"/>
      <c r="O17" s="1"/>
      <c r="P17" s="1"/>
      <c r="Q17" s="26"/>
      <c r="R17" s="37">
        <f t="shared" si="0"/>
        <v>0</v>
      </c>
    </row>
    <row r="18" spans="1:18" ht="13.5" customHeight="1">
      <c r="A18" s="345">
        <v>15</v>
      </c>
      <c r="B18" s="341" t="s">
        <v>15</v>
      </c>
      <c r="C18" s="212"/>
      <c r="D18" s="114"/>
      <c r="E18" s="95"/>
      <c r="F18" s="98"/>
      <c r="G18" s="95"/>
      <c r="H18" s="95"/>
      <c r="I18" s="95"/>
      <c r="J18" s="98"/>
      <c r="K18" s="4"/>
      <c r="L18" s="29"/>
      <c r="M18" s="29"/>
      <c r="N18" s="4"/>
      <c r="O18" s="1"/>
      <c r="P18" s="1"/>
      <c r="Q18" s="26"/>
      <c r="R18" s="37">
        <f t="shared" si="0"/>
        <v>0</v>
      </c>
    </row>
    <row r="19" spans="1:18" ht="13.5" customHeight="1">
      <c r="A19" s="345">
        <v>16</v>
      </c>
      <c r="B19" s="341" t="s">
        <v>16</v>
      </c>
      <c r="C19" s="212"/>
      <c r="D19" s="114"/>
      <c r="E19" s="95"/>
      <c r="F19" s="98"/>
      <c r="G19" s="95"/>
      <c r="H19" s="95"/>
      <c r="I19" s="95"/>
      <c r="J19" s="98"/>
      <c r="K19" s="4"/>
      <c r="L19" s="29"/>
      <c r="M19" s="29"/>
      <c r="N19" s="6"/>
      <c r="O19" s="1"/>
      <c r="P19" s="1"/>
      <c r="Q19" s="26"/>
      <c r="R19" s="37">
        <f t="shared" si="0"/>
        <v>0</v>
      </c>
    </row>
    <row r="20" spans="1:18" ht="13.5" customHeight="1">
      <c r="A20" s="345">
        <v>17</v>
      </c>
      <c r="B20" s="341" t="s">
        <v>17</v>
      </c>
      <c r="C20" s="212"/>
      <c r="D20" s="114"/>
      <c r="E20" s="95"/>
      <c r="F20" s="98"/>
      <c r="G20" s="95"/>
      <c r="H20" s="95"/>
      <c r="I20" s="95"/>
      <c r="J20" s="99"/>
      <c r="K20" s="4"/>
      <c r="L20" s="29"/>
      <c r="M20" s="29"/>
      <c r="N20" s="4"/>
      <c r="O20" s="1"/>
      <c r="P20" s="1"/>
      <c r="Q20" s="26"/>
      <c r="R20" s="37">
        <f t="shared" si="0"/>
        <v>0</v>
      </c>
    </row>
    <row r="21" spans="1:18" ht="13.5" customHeight="1">
      <c r="A21" s="345">
        <v>18</v>
      </c>
      <c r="B21" s="341" t="s">
        <v>18</v>
      </c>
      <c r="C21" s="212"/>
      <c r="D21" s="114"/>
      <c r="E21" s="95"/>
      <c r="F21" s="98"/>
      <c r="G21" s="95"/>
      <c r="H21" s="95"/>
      <c r="I21" s="95"/>
      <c r="J21" s="99"/>
      <c r="K21" s="4"/>
      <c r="L21" s="29"/>
      <c r="M21" s="29"/>
      <c r="N21" s="6"/>
      <c r="O21" s="1"/>
      <c r="P21" s="1"/>
      <c r="Q21" s="26"/>
      <c r="R21" s="37">
        <f t="shared" si="0"/>
        <v>0</v>
      </c>
    </row>
    <row r="22" spans="1:18" ht="13.5" customHeight="1">
      <c r="A22" s="345">
        <v>19</v>
      </c>
      <c r="B22" s="341" t="s">
        <v>19</v>
      </c>
      <c r="C22" s="212"/>
      <c r="D22" s="114"/>
      <c r="E22" s="95"/>
      <c r="F22" s="98"/>
      <c r="G22" s="95"/>
      <c r="H22" s="95"/>
      <c r="I22" s="95"/>
      <c r="J22" s="99"/>
      <c r="K22" s="4"/>
      <c r="L22" s="29"/>
      <c r="M22" s="29"/>
      <c r="N22" s="4"/>
      <c r="O22" s="1"/>
      <c r="P22" s="1"/>
      <c r="Q22" s="26"/>
      <c r="R22" s="37">
        <f t="shared" si="0"/>
        <v>0</v>
      </c>
    </row>
    <row r="23" spans="1:18" ht="13.5" customHeight="1">
      <c r="A23" s="345">
        <v>20</v>
      </c>
      <c r="B23" s="341" t="s">
        <v>20</v>
      </c>
      <c r="C23" s="212"/>
      <c r="D23" s="114"/>
      <c r="E23" s="95"/>
      <c r="F23" s="98"/>
      <c r="G23" s="95"/>
      <c r="H23" s="95"/>
      <c r="I23" s="95"/>
      <c r="J23" s="98"/>
      <c r="K23" s="4"/>
      <c r="L23" s="29"/>
      <c r="M23" s="29"/>
      <c r="N23" s="4"/>
      <c r="O23" s="1"/>
      <c r="P23" s="1"/>
      <c r="Q23" s="26"/>
      <c r="R23" s="37">
        <f t="shared" si="0"/>
        <v>0</v>
      </c>
    </row>
    <row r="24" spans="1:18" ht="13.5" customHeight="1">
      <c r="A24" s="345">
        <v>21</v>
      </c>
      <c r="B24" s="341" t="s">
        <v>21</v>
      </c>
      <c r="C24" s="212"/>
      <c r="D24" s="114"/>
      <c r="E24" s="95"/>
      <c r="F24" s="98"/>
      <c r="G24" s="95"/>
      <c r="H24" s="95"/>
      <c r="I24" s="95"/>
      <c r="J24" s="99"/>
      <c r="K24" s="4"/>
      <c r="L24" s="29"/>
      <c r="M24" s="29"/>
      <c r="N24" s="4"/>
      <c r="O24" s="1"/>
      <c r="P24" s="1"/>
      <c r="Q24" s="26"/>
      <c r="R24" s="37">
        <f t="shared" si="0"/>
        <v>0</v>
      </c>
    </row>
    <row r="25" spans="1:18" ht="13.5" customHeight="1">
      <c r="A25" s="345">
        <v>22</v>
      </c>
      <c r="B25" s="341" t="s">
        <v>22</v>
      </c>
      <c r="C25" s="212"/>
      <c r="D25" s="114"/>
      <c r="E25" s="95"/>
      <c r="F25" s="98"/>
      <c r="G25" s="95"/>
      <c r="H25" s="95"/>
      <c r="I25" s="95"/>
      <c r="J25" s="99"/>
      <c r="K25" s="4"/>
      <c r="L25" s="29"/>
      <c r="M25" s="29"/>
      <c r="N25" s="4"/>
      <c r="O25" s="1"/>
      <c r="P25" s="1"/>
      <c r="Q25" s="26"/>
      <c r="R25" s="37">
        <f t="shared" si="0"/>
        <v>0</v>
      </c>
    </row>
    <row r="26" spans="1:18" ht="13.5" customHeight="1">
      <c r="A26" s="345">
        <v>23</v>
      </c>
      <c r="B26" s="341" t="s">
        <v>23</v>
      </c>
      <c r="C26" s="212"/>
      <c r="D26" s="114"/>
      <c r="E26" s="95"/>
      <c r="F26" s="98"/>
      <c r="G26" s="95"/>
      <c r="H26" s="95"/>
      <c r="I26" s="95"/>
      <c r="J26" s="98"/>
      <c r="K26" s="4"/>
      <c r="L26" s="29"/>
      <c r="M26" s="29"/>
      <c r="N26" s="4"/>
      <c r="O26" s="1"/>
      <c r="P26" s="1"/>
      <c r="Q26" s="26"/>
      <c r="R26" s="37">
        <f t="shared" si="0"/>
        <v>0</v>
      </c>
    </row>
    <row r="27" spans="1:18" ht="13.5" customHeight="1">
      <c r="A27" s="345">
        <v>24</v>
      </c>
      <c r="B27" s="341" t="s">
        <v>24</v>
      </c>
      <c r="C27" s="212"/>
      <c r="D27" s="114"/>
      <c r="E27" s="95"/>
      <c r="F27" s="98"/>
      <c r="G27" s="95"/>
      <c r="H27" s="95"/>
      <c r="I27" s="95"/>
      <c r="J27" s="99"/>
      <c r="K27" s="4"/>
      <c r="L27" s="29"/>
      <c r="M27" s="29"/>
      <c r="N27" s="4"/>
      <c r="O27" s="1"/>
      <c r="P27" s="1"/>
      <c r="Q27" s="26"/>
      <c r="R27" s="37">
        <f t="shared" si="0"/>
        <v>0</v>
      </c>
    </row>
    <row r="28" spans="1:18" ht="13.5" customHeight="1">
      <c r="A28" s="345">
        <v>25</v>
      </c>
      <c r="B28" s="341" t="s">
        <v>25</v>
      </c>
      <c r="C28" s="212"/>
      <c r="D28" s="114"/>
      <c r="E28" s="95"/>
      <c r="F28" s="98"/>
      <c r="G28" s="95"/>
      <c r="H28" s="96"/>
      <c r="I28" s="98"/>
      <c r="J28" s="98"/>
      <c r="K28" s="4"/>
      <c r="L28" s="29"/>
      <c r="M28" s="4"/>
      <c r="N28" s="4"/>
      <c r="O28" s="1"/>
      <c r="P28" s="1"/>
      <c r="Q28" s="26"/>
      <c r="R28" s="37">
        <f t="shared" si="0"/>
        <v>0</v>
      </c>
    </row>
    <row r="29" spans="1:18" ht="13.5" customHeight="1">
      <c r="A29" s="345">
        <v>26</v>
      </c>
      <c r="B29" s="341" t="s">
        <v>26</v>
      </c>
      <c r="C29" s="212"/>
      <c r="D29" s="114"/>
      <c r="E29" s="95"/>
      <c r="F29" s="98"/>
      <c r="G29" s="95"/>
      <c r="H29" s="98"/>
      <c r="I29" s="98"/>
      <c r="J29" s="98"/>
      <c r="K29" s="4"/>
      <c r="L29" s="29"/>
      <c r="M29" s="4"/>
      <c r="N29" s="4"/>
      <c r="O29" s="1"/>
      <c r="P29" s="1"/>
      <c r="Q29" s="26"/>
      <c r="R29" s="37">
        <f t="shared" si="0"/>
        <v>0</v>
      </c>
    </row>
    <row r="30" spans="1:18" ht="13.5" customHeight="1">
      <c r="A30" s="345">
        <v>27</v>
      </c>
      <c r="B30" s="341" t="s">
        <v>29</v>
      </c>
      <c r="C30" s="212"/>
      <c r="D30" s="114"/>
      <c r="E30" s="95"/>
      <c r="F30" s="98"/>
      <c r="G30" s="95"/>
      <c r="H30" s="98"/>
      <c r="I30" s="98"/>
      <c r="J30" s="98"/>
      <c r="K30" s="4"/>
      <c r="L30" s="29"/>
      <c r="M30" s="4"/>
      <c r="N30" s="4"/>
      <c r="O30" s="1"/>
      <c r="P30" s="1"/>
      <c r="Q30" s="26"/>
      <c r="R30" s="37">
        <f t="shared" si="0"/>
        <v>0</v>
      </c>
    </row>
    <row r="31" spans="1:18" ht="13.5" customHeight="1">
      <c r="A31" s="345">
        <v>28</v>
      </c>
      <c r="B31" s="341" t="s">
        <v>31</v>
      </c>
      <c r="C31" s="212"/>
      <c r="D31" s="114"/>
      <c r="E31" s="95"/>
      <c r="F31" s="98"/>
      <c r="G31" s="95"/>
      <c r="H31" s="98"/>
      <c r="I31" s="98"/>
      <c r="J31" s="98"/>
      <c r="K31" s="4"/>
      <c r="L31" s="29"/>
      <c r="M31" s="36"/>
      <c r="N31" s="4"/>
      <c r="O31" s="1"/>
      <c r="P31" s="1"/>
      <c r="Q31" s="26"/>
      <c r="R31" s="37">
        <f t="shared" si="0"/>
        <v>0</v>
      </c>
    </row>
    <row r="32" spans="1:18" ht="13.5" customHeight="1">
      <c r="A32" s="345">
        <v>29</v>
      </c>
      <c r="B32" s="341" t="s">
        <v>32</v>
      </c>
      <c r="C32" s="212"/>
      <c r="D32" s="114"/>
      <c r="E32" s="95"/>
      <c r="F32" s="98"/>
      <c r="G32" s="95"/>
      <c r="H32" s="98"/>
      <c r="I32" s="98"/>
      <c r="J32" s="98"/>
      <c r="K32" s="4"/>
      <c r="L32" s="29"/>
      <c r="M32" s="4"/>
      <c r="N32" s="4"/>
      <c r="O32" s="1"/>
      <c r="P32" s="1"/>
      <c r="Q32" s="26"/>
      <c r="R32" s="37">
        <f t="shared" si="0"/>
        <v>0</v>
      </c>
    </row>
    <row r="33" spans="1:18" ht="13.5" customHeight="1">
      <c r="A33" s="345">
        <v>30</v>
      </c>
      <c r="B33" s="341" t="s">
        <v>34</v>
      </c>
      <c r="C33" s="212"/>
      <c r="D33" s="114"/>
      <c r="E33" s="95"/>
      <c r="F33" s="100"/>
      <c r="G33" s="95"/>
      <c r="H33" s="100"/>
      <c r="I33" s="100"/>
      <c r="J33" s="100"/>
      <c r="K33" s="4"/>
      <c r="L33" s="29"/>
      <c r="M33" s="4"/>
      <c r="N33" s="4"/>
      <c r="O33" s="1"/>
      <c r="P33" s="1"/>
      <c r="Q33" s="26"/>
      <c r="R33" s="37">
        <f t="shared" si="0"/>
        <v>0</v>
      </c>
    </row>
    <row r="34" spans="1:18" ht="13.5" customHeight="1">
      <c r="A34" s="345">
        <v>31</v>
      </c>
      <c r="B34" s="341" t="s">
        <v>37</v>
      </c>
      <c r="C34" s="191"/>
      <c r="D34" s="10"/>
      <c r="E34" s="96"/>
      <c r="F34" s="100"/>
      <c r="G34" s="95"/>
      <c r="H34" s="100"/>
      <c r="I34" s="100"/>
      <c r="J34" s="101"/>
      <c r="K34" s="4"/>
      <c r="L34" s="29"/>
      <c r="M34" s="29"/>
      <c r="N34" s="4"/>
      <c r="O34" s="1"/>
      <c r="P34" s="1"/>
      <c r="Q34" s="26"/>
      <c r="R34" s="37">
        <f t="shared" si="0"/>
        <v>0</v>
      </c>
    </row>
    <row r="35" spans="1:18" ht="13.5" customHeight="1" thickBot="1">
      <c r="A35" s="345">
        <v>32</v>
      </c>
      <c r="B35" s="342" t="s">
        <v>39</v>
      </c>
      <c r="C35" s="192"/>
      <c r="D35" s="52"/>
      <c r="E35" s="102"/>
      <c r="F35" s="103"/>
      <c r="G35" s="102"/>
      <c r="H35" s="108"/>
      <c r="I35" s="108"/>
      <c r="J35" s="104"/>
      <c r="K35" s="54"/>
      <c r="L35" s="55"/>
      <c r="M35" s="56"/>
      <c r="N35" s="54"/>
      <c r="O35" s="57"/>
      <c r="P35" s="55"/>
      <c r="Q35" s="65"/>
      <c r="R35" s="220">
        <f t="shared" si="0"/>
        <v>0</v>
      </c>
    </row>
    <row r="36" spans="1:18" ht="13.5" customHeight="1" thickBot="1">
      <c r="A36" s="343"/>
      <c r="B36" s="81" t="s">
        <v>12</v>
      </c>
      <c r="C36" s="330">
        <f>SUM(C4:C35)</f>
        <v>0</v>
      </c>
      <c r="D36" s="330">
        <f>SUM(D4:D35)</f>
        <v>0</v>
      </c>
      <c r="E36" s="331">
        <f aca="true" t="shared" si="1" ref="E36:R36">SUM(E4:E34)+E35</f>
        <v>0</v>
      </c>
      <c r="F36" s="331">
        <f t="shared" si="1"/>
        <v>0</v>
      </c>
      <c r="G36" s="331">
        <f t="shared" si="1"/>
        <v>0</v>
      </c>
      <c r="H36" s="331">
        <f t="shared" si="1"/>
        <v>0</v>
      </c>
      <c r="I36" s="331">
        <f t="shared" si="1"/>
        <v>0</v>
      </c>
      <c r="J36" s="331">
        <f t="shared" si="1"/>
        <v>0</v>
      </c>
      <c r="K36" s="331">
        <f t="shared" si="1"/>
        <v>0</v>
      </c>
      <c r="L36" s="331">
        <f t="shared" si="1"/>
        <v>0</v>
      </c>
      <c r="M36" s="331">
        <f t="shared" si="1"/>
        <v>0</v>
      </c>
      <c r="N36" s="331">
        <f t="shared" si="1"/>
        <v>0</v>
      </c>
      <c r="O36" s="331">
        <f t="shared" si="1"/>
        <v>0</v>
      </c>
      <c r="P36" s="331">
        <f t="shared" si="1"/>
        <v>0</v>
      </c>
      <c r="Q36" s="331">
        <f t="shared" si="1"/>
        <v>0</v>
      </c>
      <c r="R36" s="219">
        <f t="shared" si="1"/>
        <v>0</v>
      </c>
    </row>
    <row r="37" spans="1:18" ht="13.5" customHeight="1" thickBot="1">
      <c r="A37" s="346"/>
      <c r="B37" s="80"/>
      <c r="C37" s="211">
        <v>2110</v>
      </c>
      <c r="D37" s="211">
        <v>2111</v>
      </c>
      <c r="E37" s="207">
        <v>2210</v>
      </c>
      <c r="F37" s="321">
        <v>2220</v>
      </c>
      <c r="G37" s="321">
        <v>2230</v>
      </c>
      <c r="H37" s="321">
        <v>2240</v>
      </c>
      <c r="I37" s="321">
        <v>2800</v>
      </c>
      <c r="J37" s="321">
        <v>2250</v>
      </c>
      <c r="K37" s="322">
        <v>2272</v>
      </c>
      <c r="L37" s="322">
        <v>2273</v>
      </c>
      <c r="M37" s="321">
        <v>2274</v>
      </c>
      <c r="N37" s="321">
        <v>2275</v>
      </c>
      <c r="O37" s="121">
        <v>3110</v>
      </c>
      <c r="P37" s="332">
        <v>2730</v>
      </c>
      <c r="Q37" s="333">
        <v>2271</v>
      </c>
      <c r="R37" s="27">
        <f>E36+F36+G36+H36+K36+L36+M36+N36+O36+P36+Q36+J36+I36+D36+C36</f>
        <v>0</v>
      </c>
    </row>
    <row r="38" spans="2:18" ht="13.5" customHeight="1">
      <c r="B38" s="256" t="s">
        <v>43</v>
      </c>
      <c r="C38" s="88"/>
      <c r="D38" s="88"/>
      <c r="E38" s="88"/>
      <c r="F38" s="376"/>
      <c r="G38" s="376"/>
      <c r="H38" s="376"/>
      <c r="I38" s="376"/>
      <c r="J38" s="376"/>
      <c r="K38" s="376"/>
      <c r="L38" s="188">
        <v>603</v>
      </c>
      <c r="M38" s="376"/>
      <c r="N38" s="376"/>
      <c r="O38" s="88"/>
      <c r="P38" s="88"/>
      <c r="Q38" s="88"/>
      <c r="R38" s="62">
        <f>E38+F38+G38+H38+J38+K38+L38+M38+N38+O38+P38+Q38+I38</f>
        <v>603</v>
      </c>
    </row>
    <row r="39" spans="2:18" ht="13.5" customHeight="1">
      <c r="B39" s="337" t="s">
        <v>12</v>
      </c>
      <c r="C39" s="328"/>
      <c r="D39" s="328"/>
      <c r="E39" s="328"/>
      <c r="F39" s="377"/>
      <c r="G39" s="338">
        <f>SUM(G38:G38)</f>
        <v>0</v>
      </c>
      <c r="H39" s="338">
        <f>SUM(H38:H38)</f>
        <v>0</v>
      </c>
      <c r="I39" s="338">
        <f>SUM(I38:I38)</f>
        <v>0</v>
      </c>
      <c r="J39" s="338"/>
      <c r="K39" s="338">
        <f>SUM(K38:K38)</f>
        <v>0</v>
      </c>
      <c r="L39" s="338">
        <f>SUM(L38:L38)</f>
        <v>603</v>
      </c>
      <c r="M39" s="338">
        <f>SUM(M38:M38)</f>
        <v>0</v>
      </c>
      <c r="N39" s="338"/>
      <c r="O39" s="338"/>
      <c r="P39" s="338"/>
      <c r="Q39" s="338"/>
      <c r="R39" s="338">
        <f>SUM(C39:Q39)</f>
        <v>603</v>
      </c>
    </row>
    <row r="40" spans="2:18" ht="13.5" customHeight="1"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</row>
    <row r="41" spans="2:18" ht="13.5" customHeight="1" thickBot="1">
      <c r="B41" s="436" t="s">
        <v>55</v>
      </c>
      <c r="C41" s="436"/>
      <c r="D41" s="436"/>
      <c r="E41" s="436"/>
      <c r="F41" s="436"/>
      <c r="G41" s="436"/>
      <c r="H41" s="436"/>
      <c r="I41" s="436"/>
      <c r="J41" s="436"/>
      <c r="K41" s="436"/>
      <c r="L41" s="436"/>
      <c r="M41" s="436"/>
      <c r="N41" s="436"/>
      <c r="O41" s="436"/>
      <c r="P41" s="436"/>
      <c r="Q41" s="436"/>
      <c r="R41" s="436"/>
    </row>
    <row r="42" spans="2:18" ht="13.5" customHeight="1" thickBot="1">
      <c r="B42" s="18" t="s">
        <v>36</v>
      </c>
      <c r="C42" s="211">
        <v>2110</v>
      </c>
      <c r="D42" s="211">
        <v>2111</v>
      </c>
      <c r="E42" s="207">
        <v>2210</v>
      </c>
      <c r="F42" s="120">
        <v>2220</v>
      </c>
      <c r="G42" s="120">
        <v>2230</v>
      </c>
      <c r="H42" s="120">
        <v>2240</v>
      </c>
      <c r="I42" s="120">
        <v>2800</v>
      </c>
      <c r="J42" s="120">
        <v>2250</v>
      </c>
      <c r="K42" s="15">
        <v>2272</v>
      </c>
      <c r="L42" s="15">
        <v>2273</v>
      </c>
      <c r="M42" s="121">
        <v>2274</v>
      </c>
      <c r="N42" s="121">
        <v>2275</v>
      </c>
      <c r="O42" s="121">
        <v>3110</v>
      </c>
      <c r="P42" s="15">
        <v>2730</v>
      </c>
      <c r="Q42" s="210">
        <v>2271</v>
      </c>
      <c r="R42" s="365" t="s">
        <v>35</v>
      </c>
    </row>
    <row r="43" spans="1:18" ht="13.5" customHeight="1">
      <c r="A43" s="246">
        <v>1</v>
      </c>
      <c r="B43" s="21" t="s">
        <v>0</v>
      </c>
      <c r="C43" s="222"/>
      <c r="D43" s="92"/>
      <c r="E43" s="105"/>
      <c r="F43" s="94"/>
      <c r="G43" s="92"/>
      <c r="H43" s="92"/>
      <c r="I43" s="92"/>
      <c r="J43" s="94"/>
      <c r="K43" s="209"/>
      <c r="L43" s="28"/>
      <c r="M43" s="46"/>
      <c r="N43" s="28"/>
      <c r="O43" s="46"/>
      <c r="P43" s="46"/>
      <c r="Q43" s="47"/>
      <c r="R43" s="146">
        <f aca="true" t="shared" si="2" ref="R43:R74">SUM(E43:P43)</f>
        <v>0</v>
      </c>
    </row>
    <row r="44" spans="1:18" ht="13.5" customHeight="1">
      <c r="A44" s="246">
        <v>2</v>
      </c>
      <c r="B44" s="22" t="s">
        <v>1</v>
      </c>
      <c r="C44" s="107"/>
      <c r="D44" s="96"/>
      <c r="E44" s="106"/>
      <c r="F44" s="98"/>
      <c r="G44" s="95"/>
      <c r="H44" s="97"/>
      <c r="I44" s="97"/>
      <c r="J44" s="96"/>
      <c r="K44" s="4"/>
      <c r="L44" s="29"/>
      <c r="M44" s="29"/>
      <c r="N44" s="29"/>
      <c r="O44" s="4"/>
      <c r="P44" s="4"/>
      <c r="Q44" s="8"/>
      <c r="R44" s="155">
        <f t="shared" si="2"/>
        <v>0</v>
      </c>
    </row>
    <row r="45" spans="1:18" ht="13.5" customHeight="1">
      <c r="A45" s="246">
        <v>3</v>
      </c>
      <c r="B45" s="22" t="s">
        <v>2</v>
      </c>
      <c r="C45" s="107"/>
      <c r="D45" s="96"/>
      <c r="E45" s="106"/>
      <c r="F45" s="98"/>
      <c r="G45" s="95"/>
      <c r="H45" s="97"/>
      <c r="I45" s="97"/>
      <c r="J45" s="95"/>
      <c r="K45" s="4"/>
      <c r="L45" s="29"/>
      <c r="M45" s="29"/>
      <c r="N45" s="29"/>
      <c r="O45" s="4"/>
      <c r="P45" s="4"/>
      <c r="Q45" s="8"/>
      <c r="R45" s="155">
        <f t="shared" si="2"/>
        <v>0</v>
      </c>
    </row>
    <row r="46" spans="1:18" ht="13.5" customHeight="1">
      <c r="A46" s="246">
        <v>4</v>
      </c>
      <c r="B46" s="22" t="s">
        <v>3</v>
      </c>
      <c r="C46" s="198"/>
      <c r="D46" s="96"/>
      <c r="E46" s="106"/>
      <c r="F46" s="98"/>
      <c r="G46" s="95"/>
      <c r="H46" s="97"/>
      <c r="I46" s="97"/>
      <c r="J46" s="95"/>
      <c r="K46" s="4"/>
      <c r="L46" s="29"/>
      <c r="M46" s="29"/>
      <c r="N46" s="29"/>
      <c r="O46" s="4"/>
      <c r="P46" s="4"/>
      <c r="Q46" s="8"/>
      <c r="R46" s="155">
        <f t="shared" si="2"/>
        <v>0</v>
      </c>
    </row>
    <row r="47" spans="1:18" ht="13.5" customHeight="1">
      <c r="A47" s="246">
        <v>5</v>
      </c>
      <c r="B47" s="22" t="s">
        <v>4</v>
      </c>
      <c r="C47" s="198"/>
      <c r="D47" s="96"/>
      <c r="E47" s="106"/>
      <c r="F47" s="98"/>
      <c r="G47" s="95"/>
      <c r="H47" s="97"/>
      <c r="I47" s="97"/>
      <c r="J47" s="95"/>
      <c r="K47" s="4"/>
      <c r="L47" s="29"/>
      <c r="M47" s="29"/>
      <c r="N47" s="29"/>
      <c r="O47" s="4"/>
      <c r="P47" s="4"/>
      <c r="Q47" s="8"/>
      <c r="R47" s="155">
        <f t="shared" si="2"/>
        <v>0</v>
      </c>
    </row>
    <row r="48" spans="1:18" ht="13.5" customHeight="1">
      <c r="A48" s="246">
        <v>6</v>
      </c>
      <c r="B48" s="22" t="s">
        <v>5</v>
      </c>
      <c r="C48" s="107"/>
      <c r="D48" s="96"/>
      <c r="E48" s="106"/>
      <c r="F48" s="98"/>
      <c r="G48" s="95"/>
      <c r="H48" s="95"/>
      <c r="I48" s="95"/>
      <c r="J48" s="95"/>
      <c r="K48" s="29"/>
      <c r="L48" s="29"/>
      <c r="M48" s="29"/>
      <c r="N48" s="29"/>
      <c r="O48" s="4"/>
      <c r="P48" s="4"/>
      <c r="Q48" s="42"/>
      <c r="R48" s="155">
        <f>SUM(E48:P48)+Q48</f>
        <v>0</v>
      </c>
    </row>
    <row r="49" spans="1:18" ht="13.5" customHeight="1">
      <c r="A49" s="246">
        <v>7</v>
      </c>
      <c r="B49" s="22" t="s">
        <v>6</v>
      </c>
      <c r="C49" s="198"/>
      <c r="D49" s="96"/>
      <c r="E49" s="106"/>
      <c r="F49" s="98"/>
      <c r="G49" s="95"/>
      <c r="H49" s="97"/>
      <c r="I49" s="97"/>
      <c r="J49" s="95"/>
      <c r="K49" s="36"/>
      <c r="L49" s="29"/>
      <c r="M49" s="36"/>
      <c r="N49" s="29"/>
      <c r="O49" s="4"/>
      <c r="P49" s="4"/>
      <c r="Q49" s="8"/>
      <c r="R49" s="155">
        <f t="shared" si="2"/>
        <v>0</v>
      </c>
    </row>
    <row r="50" spans="1:18" ht="13.5" customHeight="1">
      <c r="A50" s="246">
        <v>8</v>
      </c>
      <c r="B50" s="22" t="s">
        <v>7</v>
      </c>
      <c r="C50" s="198"/>
      <c r="D50" s="96"/>
      <c r="E50" s="106"/>
      <c r="F50" s="99"/>
      <c r="G50" s="95"/>
      <c r="H50" s="97"/>
      <c r="I50" s="97"/>
      <c r="J50" s="96"/>
      <c r="K50" s="29"/>
      <c r="L50" s="29"/>
      <c r="M50" s="36"/>
      <c r="N50" s="29"/>
      <c r="O50" s="4"/>
      <c r="P50" s="4"/>
      <c r="Q50" s="8"/>
      <c r="R50" s="155">
        <f t="shared" si="2"/>
        <v>0</v>
      </c>
    </row>
    <row r="51" spans="1:18" ht="13.5" customHeight="1">
      <c r="A51" s="246">
        <v>9</v>
      </c>
      <c r="B51" s="22" t="s">
        <v>8</v>
      </c>
      <c r="C51" s="198"/>
      <c r="D51" s="96"/>
      <c r="E51" s="107"/>
      <c r="F51" s="98"/>
      <c r="G51" s="95"/>
      <c r="H51" s="97"/>
      <c r="I51" s="97"/>
      <c r="J51" s="96"/>
      <c r="K51" s="29"/>
      <c r="L51" s="29"/>
      <c r="M51" s="36"/>
      <c r="N51" s="29"/>
      <c r="O51" s="4"/>
      <c r="P51" s="4"/>
      <c r="Q51" s="8"/>
      <c r="R51" s="155">
        <f t="shared" si="2"/>
        <v>0</v>
      </c>
    </row>
    <row r="52" spans="1:18" ht="13.5" customHeight="1">
      <c r="A52" s="246">
        <v>10</v>
      </c>
      <c r="B52" s="22" t="s">
        <v>9</v>
      </c>
      <c r="C52" s="107"/>
      <c r="D52" s="96"/>
      <c r="E52" s="107"/>
      <c r="F52" s="98"/>
      <c r="G52" s="95"/>
      <c r="H52" s="97"/>
      <c r="I52" s="97"/>
      <c r="J52" s="95"/>
      <c r="K52" s="29"/>
      <c r="L52" s="29"/>
      <c r="M52" s="36"/>
      <c r="N52" s="29"/>
      <c r="O52" s="4"/>
      <c r="P52" s="4"/>
      <c r="Q52" s="8"/>
      <c r="R52" s="155">
        <f t="shared" si="2"/>
        <v>0</v>
      </c>
    </row>
    <row r="53" spans="1:18" ht="13.5" customHeight="1">
      <c r="A53" s="246">
        <v>11</v>
      </c>
      <c r="B53" s="22" t="s">
        <v>10</v>
      </c>
      <c r="C53" s="198"/>
      <c r="D53" s="96"/>
      <c r="E53" s="107"/>
      <c r="F53" s="98"/>
      <c r="G53" s="95"/>
      <c r="H53" s="97"/>
      <c r="I53" s="97"/>
      <c r="J53" s="95"/>
      <c r="K53" s="29"/>
      <c r="L53" s="29"/>
      <c r="M53" s="36"/>
      <c r="N53" s="36"/>
      <c r="O53" s="4"/>
      <c r="P53" s="4"/>
      <c r="Q53" s="8"/>
      <c r="R53" s="155">
        <f t="shared" si="2"/>
        <v>0</v>
      </c>
    </row>
    <row r="54" spans="1:18" ht="13.5" customHeight="1">
      <c r="A54" s="246">
        <v>12</v>
      </c>
      <c r="B54" s="22" t="s">
        <v>11</v>
      </c>
      <c r="C54" s="198"/>
      <c r="D54" s="96"/>
      <c r="E54" s="107"/>
      <c r="F54" s="98"/>
      <c r="G54" s="95"/>
      <c r="H54" s="97"/>
      <c r="I54" s="97"/>
      <c r="J54" s="96"/>
      <c r="K54" s="29"/>
      <c r="L54" s="29"/>
      <c r="M54" s="29"/>
      <c r="N54" s="36"/>
      <c r="O54" s="4"/>
      <c r="P54" s="4"/>
      <c r="Q54" s="8"/>
      <c r="R54" s="155">
        <f t="shared" si="2"/>
        <v>0</v>
      </c>
    </row>
    <row r="55" spans="1:18" ht="13.5" customHeight="1">
      <c r="A55" s="246">
        <v>13</v>
      </c>
      <c r="B55" s="22" t="s">
        <v>13</v>
      </c>
      <c r="C55" s="198"/>
      <c r="D55" s="96"/>
      <c r="E55" s="107"/>
      <c r="F55" s="98"/>
      <c r="G55" s="95"/>
      <c r="H55" s="97"/>
      <c r="I55" s="97"/>
      <c r="J55" s="95"/>
      <c r="K55" s="29"/>
      <c r="L55" s="29"/>
      <c r="M55" s="36"/>
      <c r="N55" s="36"/>
      <c r="O55" s="4"/>
      <c r="P55" s="4"/>
      <c r="Q55" s="8"/>
      <c r="R55" s="155">
        <f t="shared" si="2"/>
        <v>0</v>
      </c>
    </row>
    <row r="56" spans="1:18" ht="13.5" customHeight="1">
      <c r="A56" s="246">
        <v>14</v>
      </c>
      <c r="B56" s="22" t="s">
        <v>14</v>
      </c>
      <c r="C56" s="198"/>
      <c r="D56" s="96"/>
      <c r="E56" s="107"/>
      <c r="F56" s="98"/>
      <c r="G56" s="95"/>
      <c r="H56" s="97"/>
      <c r="I56" s="97"/>
      <c r="J56" s="96"/>
      <c r="K56" s="29"/>
      <c r="L56" s="29"/>
      <c r="M56" s="36"/>
      <c r="N56" s="36"/>
      <c r="O56" s="4"/>
      <c r="P56" s="4"/>
      <c r="Q56" s="8"/>
      <c r="R56" s="155">
        <f t="shared" si="2"/>
        <v>0</v>
      </c>
    </row>
    <row r="57" spans="1:18" ht="13.5" customHeight="1">
      <c r="A57" s="246">
        <v>15</v>
      </c>
      <c r="B57" s="22" t="s">
        <v>15</v>
      </c>
      <c r="C57" s="198"/>
      <c r="D57" s="96"/>
      <c r="E57" s="107"/>
      <c r="F57" s="98"/>
      <c r="G57" s="95"/>
      <c r="H57" s="97"/>
      <c r="I57" s="97"/>
      <c r="J57" s="95"/>
      <c r="K57" s="36"/>
      <c r="L57" s="29"/>
      <c r="M57" s="36"/>
      <c r="N57" s="29"/>
      <c r="O57" s="4"/>
      <c r="P57" s="4"/>
      <c r="Q57" s="8"/>
      <c r="R57" s="155">
        <f t="shared" si="2"/>
        <v>0</v>
      </c>
    </row>
    <row r="58" spans="1:18" ht="13.5" customHeight="1">
      <c r="A58" s="246">
        <v>16</v>
      </c>
      <c r="B58" s="22" t="s">
        <v>16</v>
      </c>
      <c r="C58" s="198"/>
      <c r="D58" s="96"/>
      <c r="E58" s="107"/>
      <c r="F58" s="98"/>
      <c r="G58" s="95">
        <v>946.23</v>
      </c>
      <c r="H58" s="97"/>
      <c r="I58" s="97"/>
      <c r="J58" s="96"/>
      <c r="K58" s="4"/>
      <c r="L58" s="29"/>
      <c r="M58" s="36"/>
      <c r="N58" s="29"/>
      <c r="O58" s="4"/>
      <c r="P58" s="4"/>
      <c r="Q58" s="8"/>
      <c r="R58" s="155">
        <f t="shared" si="2"/>
        <v>946.23</v>
      </c>
    </row>
    <row r="59" spans="1:18" ht="13.5" customHeight="1">
      <c r="A59" s="246">
        <v>17</v>
      </c>
      <c r="B59" s="22" t="s">
        <v>17</v>
      </c>
      <c r="C59" s="198"/>
      <c r="D59" s="96"/>
      <c r="E59" s="107"/>
      <c r="F59" s="98"/>
      <c r="G59" s="95"/>
      <c r="H59" s="97"/>
      <c r="I59" s="97"/>
      <c r="J59" s="95"/>
      <c r="K59" s="4"/>
      <c r="L59" s="29"/>
      <c r="M59" s="36"/>
      <c r="N59" s="29"/>
      <c r="O59" s="4"/>
      <c r="P59" s="4"/>
      <c r="Q59" s="8"/>
      <c r="R59" s="155">
        <f t="shared" si="2"/>
        <v>0</v>
      </c>
    </row>
    <row r="60" spans="1:18" ht="13.5" customHeight="1">
      <c r="A60" s="246">
        <v>18</v>
      </c>
      <c r="B60" s="22" t="s">
        <v>18</v>
      </c>
      <c r="C60" s="198"/>
      <c r="D60" s="96"/>
      <c r="E60" s="107"/>
      <c r="F60" s="98"/>
      <c r="G60" s="95"/>
      <c r="H60" s="97"/>
      <c r="I60" s="97"/>
      <c r="J60" s="95"/>
      <c r="K60" s="4"/>
      <c r="L60" s="29"/>
      <c r="M60" s="29"/>
      <c r="N60" s="29"/>
      <c r="O60" s="4"/>
      <c r="P60" s="4"/>
      <c r="Q60" s="8"/>
      <c r="R60" s="155">
        <f t="shared" si="2"/>
        <v>0</v>
      </c>
    </row>
    <row r="61" spans="1:18" ht="13.5" customHeight="1">
      <c r="A61" s="246">
        <v>19</v>
      </c>
      <c r="B61" s="22" t="s">
        <v>19</v>
      </c>
      <c r="C61" s="198"/>
      <c r="D61" s="96"/>
      <c r="E61" s="107"/>
      <c r="F61" s="98"/>
      <c r="G61" s="95"/>
      <c r="H61" s="97"/>
      <c r="I61" s="97"/>
      <c r="J61" s="95"/>
      <c r="K61" s="4"/>
      <c r="L61" s="29"/>
      <c r="M61" s="36"/>
      <c r="N61" s="4"/>
      <c r="O61" s="4"/>
      <c r="P61" s="4"/>
      <c r="Q61" s="8"/>
      <c r="R61" s="155">
        <f t="shared" si="2"/>
        <v>0</v>
      </c>
    </row>
    <row r="62" spans="1:18" ht="13.5" customHeight="1">
      <c r="A62" s="246">
        <v>20</v>
      </c>
      <c r="B62" s="22" t="s">
        <v>20</v>
      </c>
      <c r="C62" s="198"/>
      <c r="D62" s="96"/>
      <c r="E62" s="107"/>
      <c r="F62" s="98"/>
      <c r="G62" s="95"/>
      <c r="H62" s="97"/>
      <c r="I62" s="97"/>
      <c r="J62" s="96"/>
      <c r="K62" s="4"/>
      <c r="L62" s="29"/>
      <c r="M62" s="36"/>
      <c r="N62" s="4"/>
      <c r="O62" s="4"/>
      <c r="P62" s="4"/>
      <c r="Q62" s="8"/>
      <c r="R62" s="155">
        <f t="shared" si="2"/>
        <v>0</v>
      </c>
    </row>
    <row r="63" spans="1:18" ht="13.5" customHeight="1">
      <c r="A63" s="246">
        <v>21</v>
      </c>
      <c r="B63" s="22" t="s">
        <v>21</v>
      </c>
      <c r="C63" s="198"/>
      <c r="D63" s="96"/>
      <c r="E63" s="107"/>
      <c r="F63" s="98"/>
      <c r="G63" s="95">
        <v>285.31</v>
      </c>
      <c r="H63" s="97"/>
      <c r="I63" s="97"/>
      <c r="J63" s="95"/>
      <c r="K63" s="4"/>
      <c r="L63" s="29"/>
      <c r="M63" s="36"/>
      <c r="N63" s="29"/>
      <c r="O63" s="4"/>
      <c r="P63" s="4"/>
      <c r="Q63" s="8"/>
      <c r="R63" s="155">
        <f t="shared" si="2"/>
        <v>285.31</v>
      </c>
    </row>
    <row r="64" spans="1:18" ht="13.5" customHeight="1">
      <c r="A64" s="246">
        <v>22</v>
      </c>
      <c r="B64" s="22" t="s">
        <v>22</v>
      </c>
      <c r="C64" s="107"/>
      <c r="D64" s="96"/>
      <c r="E64" s="107"/>
      <c r="F64" s="98"/>
      <c r="G64" s="95"/>
      <c r="H64" s="97"/>
      <c r="I64" s="97"/>
      <c r="J64" s="95"/>
      <c r="K64" s="4"/>
      <c r="L64" s="29"/>
      <c r="M64" s="36"/>
      <c r="N64" s="29"/>
      <c r="O64" s="4"/>
      <c r="P64" s="4"/>
      <c r="Q64" s="8"/>
      <c r="R64" s="155">
        <f t="shared" si="2"/>
        <v>0</v>
      </c>
    </row>
    <row r="65" spans="1:18" ht="13.5" customHeight="1">
      <c r="A65" s="246">
        <v>23</v>
      </c>
      <c r="B65" s="22" t="s">
        <v>23</v>
      </c>
      <c r="C65" s="198"/>
      <c r="D65" s="96"/>
      <c r="E65" s="107"/>
      <c r="F65" s="98"/>
      <c r="G65" s="95"/>
      <c r="H65" s="97"/>
      <c r="I65" s="97"/>
      <c r="J65" s="96"/>
      <c r="K65" s="4"/>
      <c r="L65" s="29"/>
      <c r="M65" s="36"/>
      <c r="N65" s="4"/>
      <c r="O65" s="4"/>
      <c r="P65" s="4"/>
      <c r="Q65" s="8"/>
      <c r="R65" s="155">
        <f t="shared" si="2"/>
        <v>0</v>
      </c>
    </row>
    <row r="66" spans="1:18" ht="13.5" customHeight="1">
      <c r="A66" s="246">
        <v>24</v>
      </c>
      <c r="B66" s="22" t="s">
        <v>24</v>
      </c>
      <c r="C66" s="198"/>
      <c r="D66" s="96"/>
      <c r="E66" s="107"/>
      <c r="F66" s="98"/>
      <c r="G66" s="95"/>
      <c r="H66" s="97"/>
      <c r="I66" s="97"/>
      <c r="J66" s="95"/>
      <c r="K66" s="4"/>
      <c r="L66" s="29"/>
      <c r="M66" s="36"/>
      <c r="N66" s="4"/>
      <c r="O66" s="4"/>
      <c r="P66" s="4"/>
      <c r="Q66" s="8"/>
      <c r="R66" s="155">
        <f t="shared" si="2"/>
        <v>0</v>
      </c>
    </row>
    <row r="67" spans="1:18" ht="13.5" customHeight="1">
      <c r="A67" s="246">
        <v>25</v>
      </c>
      <c r="B67" s="22" t="s">
        <v>25</v>
      </c>
      <c r="C67" s="198"/>
      <c r="D67" s="96"/>
      <c r="E67" s="107"/>
      <c r="F67" s="98"/>
      <c r="G67" s="95"/>
      <c r="H67" s="95"/>
      <c r="I67" s="98"/>
      <c r="J67" s="96"/>
      <c r="K67" s="4"/>
      <c r="L67" s="29"/>
      <c r="M67" s="4"/>
      <c r="N67" s="4"/>
      <c r="O67" s="4"/>
      <c r="P67" s="4"/>
      <c r="Q67" s="8"/>
      <c r="R67" s="155">
        <f t="shared" si="2"/>
        <v>0</v>
      </c>
    </row>
    <row r="68" spans="1:18" ht="13.5" customHeight="1">
      <c r="A68" s="246">
        <v>26</v>
      </c>
      <c r="B68" s="22" t="s">
        <v>26</v>
      </c>
      <c r="C68" s="198"/>
      <c r="D68" s="96"/>
      <c r="E68" s="107"/>
      <c r="F68" s="98"/>
      <c r="G68" s="95"/>
      <c r="H68" s="95"/>
      <c r="I68" s="98"/>
      <c r="J68" s="96"/>
      <c r="K68" s="4"/>
      <c r="L68" s="29"/>
      <c r="M68" s="4"/>
      <c r="N68" s="29"/>
      <c r="O68" s="4"/>
      <c r="P68" s="4"/>
      <c r="Q68" s="8"/>
      <c r="R68" s="155">
        <f t="shared" si="2"/>
        <v>0</v>
      </c>
    </row>
    <row r="69" spans="1:18" ht="13.5" customHeight="1">
      <c r="A69" s="246">
        <v>27</v>
      </c>
      <c r="B69" s="22" t="s">
        <v>29</v>
      </c>
      <c r="C69" s="107"/>
      <c r="D69" s="96"/>
      <c r="E69" s="107"/>
      <c r="F69" s="98"/>
      <c r="G69" s="95"/>
      <c r="H69" s="95"/>
      <c r="I69" s="98"/>
      <c r="J69" s="98"/>
      <c r="K69" s="4"/>
      <c r="L69" s="29"/>
      <c r="M69" s="4"/>
      <c r="N69" s="4"/>
      <c r="O69" s="4"/>
      <c r="P69" s="4"/>
      <c r="Q69" s="8"/>
      <c r="R69" s="155">
        <f t="shared" si="2"/>
        <v>0</v>
      </c>
    </row>
    <row r="70" spans="1:18" ht="13.5" customHeight="1">
      <c r="A70" s="246">
        <v>28</v>
      </c>
      <c r="B70" s="22" t="s">
        <v>31</v>
      </c>
      <c r="C70" s="198"/>
      <c r="D70" s="96"/>
      <c r="E70" s="107"/>
      <c r="F70" s="98"/>
      <c r="G70" s="95"/>
      <c r="H70" s="95"/>
      <c r="I70" s="98"/>
      <c r="J70" s="98"/>
      <c r="K70" s="4"/>
      <c r="L70" s="29"/>
      <c r="M70" s="36"/>
      <c r="N70" s="4"/>
      <c r="O70" s="4"/>
      <c r="P70" s="4"/>
      <c r="Q70" s="8"/>
      <c r="R70" s="155">
        <f t="shared" si="2"/>
        <v>0</v>
      </c>
    </row>
    <row r="71" spans="1:18" ht="13.5" customHeight="1">
      <c r="A71" s="246">
        <v>29</v>
      </c>
      <c r="B71" s="22" t="s">
        <v>32</v>
      </c>
      <c r="C71" s="198"/>
      <c r="D71" s="96"/>
      <c r="E71" s="107"/>
      <c r="F71" s="98"/>
      <c r="G71" s="95"/>
      <c r="H71" s="95"/>
      <c r="I71" s="98"/>
      <c r="J71" s="98"/>
      <c r="K71" s="4"/>
      <c r="L71" s="29"/>
      <c r="M71" s="4"/>
      <c r="N71" s="4"/>
      <c r="O71" s="4"/>
      <c r="P71" s="4"/>
      <c r="Q71" s="8"/>
      <c r="R71" s="155">
        <f t="shared" si="2"/>
        <v>0</v>
      </c>
    </row>
    <row r="72" spans="1:18" ht="13.5" customHeight="1">
      <c r="A72" s="246">
        <v>30</v>
      </c>
      <c r="B72" s="23" t="s">
        <v>34</v>
      </c>
      <c r="C72" s="198"/>
      <c r="D72" s="96"/>
      <c r="E72" s="107"/>
      <c r="F72" s="100"/>
      <c r="G72" s="95"/>
      <c r="H72" s="95"/>
      <c r="I72" s="100"/>
      <c r="J72" s="100"/>
      <c r="K72" s="4"/>
      <c r="L72" s="29"/>
      <c r="M72" s="4"/>
      <c r="N72" s="4"/>
      <c r="O72" s="4"/>
      <c r="P72" s="4"/>
      <c r="Q72" s="8"/>
      <c r="R72" s="155">
        <f t="shared" si="2"/>
        <v>0</v>
      </c>
    </row>
    <row r="73" spans="1:18" ht="13.5" customHeight="1">
      <c r="A73" s="246">
        <v>31</v>
      </c>
      <c r="B73" s="23" t="s">
        <v>41</v>
      </c>
      <c r="C73" s="198"/>
      <c r="D73" s="96"/>
      <c r="E73" s="96"/>
      <c r="F73" s="100"/>
      <c r="G73" s="95">
        <v>351.75</v>
      </c>
      <c r="H73" s="100"/>
      <c r="I73" s="100"/>
      <c r="J73" s="101"/>
      <c r="K73" s="4"/>
      <c r="L73" s="29"/>
      <c r="M73" s="109"/>
      <c r="N73" s="4"/>
      <c r="O73" s="4"/>
      <c r="P73" s="4"/>
      <c r="Q73" s="8"/>
      <c r="R73" s="155">
        <f t="shared" si="2"/>
        <v>351.75</v>
      </c>
    </row>
    <row r="74" spans="1:18" ht="13.5" customHeight="1" thickBot="1">
      <c r="A74" s="246">
        <v>32</v>
      </c>
      <c r="B74" s="24" t="s">
        <v>38</v>
      </c>
      <c r="C74" s="199"/>
      <c r="D74" s="108"/>
      <c r="E74" s="108"/>
      <c r="F74" s="103"/>
      <c r="G74" s="102"/>
      <c r="H74" s="103"/>
      <c r="I74" s="103"/>
      <c r="J74" s="104"/>
      <c r="K74" s="54"/>
      <c r="L74" s="55"/>
      <c r="M74" s="110"/>
      <c r="N74" s="54"/>
      <c r="O74" s="54"/>
      <c r="P74" s="54"/>
      <c r="Q74" s="221"/>
      <c r="R74" s="155">
        <f t="shared" si="2"/>
        <v>0</v>
      </c>
    </row>
    <row r="75" spans="2:18" ht="13.5" customHeight="1" thickBot="1">
      <c r="B75" s="32" t="s">
        <v>12</v>
      </c>
      <c r="C75" s="223">
        <f>SUM(C43:C74)</f>
        <v>0</v>
      </c>
      <c r="D75" s="223">
        <f>SUM(D43:D74)</f>
        <v>0</v>
      </c>
      <c r="E75" s="229">
        <f>SUM(E43:E73)+E74</f>
        <v>0</v>
      </c>
      <c r="F75" s="230">
        <f aca="true" t="shared" si="3" ref="F75:Q75">SUM(F43:F73)</f>
        <v>0</v>
      </c>
      <c r="G75" s="230">
        <f t="shared" si="3"/>
        <v>1583.29</v>
      </c>
      <c r="H75" s="230">
        <f t="shared" si="3"/>
        <v>0</v>
      </c>
      <c r="I75" s="230">
        <f t="shared" si="3"/>
        <v>0</v>
      </c>
      <c r="J75" s="230">
        <f t="shared" si="3"/>
        <v>0</v>
      </c>
      <c r="K75" s="230">
        <f t="shared" si="3"/>
        <v>0</v>
      </c>
      <c r="L75" s="230">
        <f>SUM(L43:L73)+L74</f>
        <v>0</v>
      </c>
      <c r="M75" s="230">
        <f>SUM(M43:M73)</f>
        <v>0</v>
      </c>
      <c r="N75" s="228">
        <f t="shared" si="3"/>
        <v>0</v>
      </c>
      <c r="O75" s="228">
        <f t="shared" si="3"/>
        <v>0</v>
      </c>
      <c r="P75" s="228">
        <f t="shared" si="3"/>
        <v>0</v>
      </c>
      <c r="Q75" s="329">
        <f t="shared" si="3"/>
        <v>0</v>
      </c>
      <c r="R75" s="224">
        <f>SUM(R43:R73)+R74</f>
        <v>1583.29</v>
      </c>
    </row>
    <row r="76" spans="2:18" ht="13.5" customHeight="1" thickBot="1">
      <c r="B76" s="80"/>
      <c r="C76" s="139">
        <v>2110</v>
      </c>
      <c r="D76" s="139">
        <v>2111</v>
      </c>
      <c r="E76" s="233">
        <v>2210</v>
      </c>
      <c r="F76" s="181">
        <v>2220</v>
      </c>
      <c r="G76" s="181">
        <v>2230</v>
      </c>
      <c r="H76" s="181">
        <v>2240</v>
      </c>
      <c r="I76" s="181">
        <v>2800</v>
      </c>
      <c r="J76" s="181">
        <v>2250</v>
      </c>
      <c r="K76" s="182">
        <v>2272</v>
      </c>
      <c r="L76" s="182">
        <v>2273</v>
      </c>
      <c r="M76" s="181">
        <v>2274</v>
      </c>
      <c r="N76" s="181">
        <v>2275</v>
      </c>
      <c r="O76" s="181">
        <v>3110</v>
      </c>
      <c r="P76" s="182">
        <v>2730</v>
      </c>
      <c r="Q76" s="183">
        <v>2271</v>
      </c>
      <c r="R76" s="170">
        <f>E75+F75+G75+H75+K75+L75+M75+N75+O75+P75+Q75+J75+I75</f>
        <v>1583.29</v>
      </c>
    </row>
    <row r="77" spans="2:18" ht="13.5" customHeight="1">
      <c r="B77" s="256" t="s">
        <v>43</v>
      </c>
      <c r="C77" s="256"/>
      <c r="D77" s="256"/>
      <c r="E77" s="256"/>
      <c r="F77" s="256"/>
      <c r="G77" s="257">
        <v>1583.29</v>
      </c>
      <c r="H77" s="256"/>
      <c r="I77" s="256"/>
      <c r="J77" s="256"/>
      <c r="K77" s="256"/>
      <c r="L77" s="257">
        <v>956.35</v>
      </c>
      <c r="M77" s="256"/>
      <c r="N77" s="256"/>
      <c r="O77" s="256"/>
      <c r="P77" s="256"/>
      <c r="Q77" s="256"/>
      <c r="R77" s="172">
        <f>E77+F77+G77+H77+J77+K77+L77+M77+N77+O77+P77+Q77+I77+G78</f>
        <v>4122.93</v>
      </c>
    </row>
    <row r="78" spans="2:18" ht="13.5" customHeight="1">
      <c r="B78" s="337" t="s">
        <v>12</v>
      </c>
      <c r="C78" s="357"/>
      <c r="D78" s="357"/>
      <c r="E78" s="357"/>
      <c r="F78" s="357"/>
      <c r="G78" s="358">
        <f>SUM(G77:G77)</f>
        <v>1583.29</v>
      </c>
      <c r="H78" s="358">
        <f>SUM(H77:H77)</f>
        <v>0</v>
      </c>
      <c r="I78" s="358">
        <f>SUM(I77:I77)</f>
        <v>0</v>
      </c>
      <c r="J78" s="357"/>
      <c r="K78" s="358">
        <f>SUM(K77:K77)</f>
        <v>0</v>
      </c>
      <c r="L78" s="358">
        <f>SUM(L77:L77)</f>
        <v>956.35</v>
      </c>
      <c r="M78" s="358">
        <f>SUM(M77:M77)</f>
        <v>0</v>
      </c>
      <c r="N78" s="358">
        <f>SUM(N77:N77)</f>
        <v>0</v>
      </c>
      <c r="O78" s="357"/>
      <c r="P78" s="357"/>
      <c r="Q78" s="358">
        <f>SUM(Q77:Q77)</f>
        <v>0</v>
      </c>
      <c r="R78" s="358">
        <f>SUM(R77:R77)</f>
        <v>4122.93</v>
      </c>
    </row>
    <row r="79" spans="2:18" ht="13.5" customHeight="1"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</row>
    <row r="80" spans="2:18" ht="13.5" customHeight="1" thickBot="1">
      <c r="B80" s="436" t="s">
        <v>57</v>
      </c>
      <c r="C80" s="436"/>
      <c r="D80" s="436"/>
      <c r="E80" s="436"/>
      <c r="F80" s="436"/>
      <c r="G80" s="436"/>
      <c r="H80" s="436"/>
      <c r="I80" s="436"/>
      <c r="J80" s="436"/>
      <c r="K80" s="436"/>
      <c r="L80" s="436"/>
      <c r="M80" s="436"/>
      <c r="N80" s="436"/>
      <c r="O80" s="436"/>
      <c r="P80" s="436"/>
      <c r="Q80" s="436"/>
      <c r="R80" s="436"/>
    </row>
    <row r="81" spans="2:18" ht="13.5" customHeight="1" thickBot="1">
      <c r="B81" s="18" t="s">
        <v>36</v>
      </c>
      <c r="C81" s="211">
        <v>2110</v>
      </c>
      <c r="D81" s="211">
        <v>2111</v>
      </c>
      <c r="E81" s="207">
        <v>2210</v>
      </c>
      <c r="F81" s="120">
        <v>2220</v>
      </c>
      <c r="G81" s="120">
        <v>2230</v>
      </c>
      <c r="H81" s="120">
        <v>2240</v>
      </c>
      <c r="I81" s="120">
        <v>2800</v>
      </c>
      <c r="J81" s="120">
        <v>2250</v>
      </c>
      <c r="K81" s="15">
        <v>2272</v>
      </c>
      <c r="L81" s="15">
        <v>2273</v>
      </c>
      <c r="M81" s="121">
        <v>2274</v>
      </c>
      <c r="N81" s="121">
        <v>2275</v>
      </c>
      <c r="O81" s="121">
        <v>3110</v>
      </c>
      <c r="P81" s="15">
        <v>2730</v>
      </c>
      <c r="Q81" s="210">
        <v>2271</v>
      </c>
      <c r="R81" s="365" t="s">
        <v>35</v>
      </c>
    </row>
    <row r="82" spans="1:18" ht="13.5" customHeight="1">
      <c r="A82" s="246">
        <v>1</v>
      </c>
      <c r="B82" s="21" t="s">
        <v>0</v>
      </c>
      <c r="C82" s="43"/>
      <c r="D82" s="44"/>
      <c r="E82" s="105"/>
      <c r="F82" s="94"/>
      <c r="G82" s="92"/>
      <c r="H82" s="92"/>
      <c r="I82" s="92"/>
      <c r="J82" s="93"/>
      <c r="K82" s="46"/>
      <c r="L82" s="28"/>
      <c r="M82" s="46"/>
      <c r="N82" s="28"/>
      <c r="O82" s="132"/>
      <c r="P82" s="132"/>
      <c r="Q82" s="135"/>
      <c r="R82" s="70">
        <f>SUM(E82:P82)</f>
        <v>0</v>
      </c>
    </row>
    <row r="83" spans="1:18" ht="13.5" customHeight="1">
      <c r="A83" s="246">
        <v>2</v>
      </c>
      <c r="B83" s="22" t="s">
        <v>1</v>
      </c>
      <c r="C83" s="17"/>
      <c r="D83" s="3"/>
      <c r="E83" s="106"/>
      <c r="F83" s="98"/>
      <c r="G83" s="95"/>
      <c r="H83" s="97"/>
      <c r="I83" s="97"/>
      <c r="J83" s="95"/>
      <c r="K83" s="4"/>
      <c r="L83" s="29"/>
      <c r="M83" s="29"/>
      <c r="N83" s="29"/>
      <c r="O83" s="133"/>
      <c r="P83" s="133"/>
      <c r="Q83" s="136"/>
      <c r="R83" s="137">
        <f>SUM(E83:P83)</f>
        <v>0</v>
      </c>
    </row>
    <row r="84" spans="1:18" ht="13.5" customHeight="1">
      <c r="A84" s="246">
        <v>3</v>
      </c>
      <c r="B84" s="22" t="s">
        <v>2</v>
      </c>
      <c r="C84" s="17"/>
      <c r="D84" s="3"/>
      <c r="E84" s="106"/>
      <c r="F84" s="98"/>
      <c r="G84" s="95">
        <v>983.1</v>
      </c>
      <c r="H84" s="97"/>
      <c r="I84" s="97"/>
      <c r="J84" s="95"/>
      <c r="K84" s="4"/>
      <c r="L84" s="29"/>
      <c r="M84" s="29"/>
      <c r="N84" s="29"/>
      <c r="O84" s="133"/>
      <c r="P84" s="133"/>
      <c r="Q84" s="136"/>
      <c r="R84" s="137">
        <f>SUM(E84:P84)</f>
        <v>983.1</v>
      </c>
    </row>
    <row r="85" spans="1:18" ht="13.5" customHeight="1">
      <c r="A85" s="246">
        <v>4</v>
      </c>
      <c r="B85" s="22" t="s">
        <v>3</v>
      </c>
      <c r="C85" s="17"/>
      <c r="D85" s="3"/>
      <c r="E85" s="106"/>
      <c r="F85" s="98"/>
      <c r="G85" s="95"/>
      <c r="H85" s="97"/>
      <c r="I85" s="97"/>
      <c r="J85" s="96"/>
      <c r="K85" s="4"/>
      <c r="L85" s="29"/>
      <c r="M85" s="29"/>
      <c r="N85" s="29"/>
      <c r="O85" s="133"/>
      <c r="P85" s="133"/>
      <c r="Q85" s="136"/>
      <c r="R85" s="137">
        <f>SUM(E85:P85)</f>
        <v>0</v>
      </c>
    </row>
    <row r="86" spans="1:18" ht="13.5" customHeight="1">
      <c r="A86" s="246">
        <v>5</v>
      </c>
      <c r="B86" s="22" t="s">
        <v>4</v>
      </c>
      <c r="C86" s="17"/>
      <c r="D86" s="3"/>
      <c r="E86" s="106"/>
      <c r="F86" s="98"/>
      <c r="G86" s="95">
        <v>154.73</v>
      </c>
      <c r="H86" s="97"/>
      <c r="I86" s="97"/>
      <c r="J86" s="95"/>
      <c r="K86" s="4"/>
      <c r="L86" s="29"/>
      <c r="M86" s="29"/>
      <c r="N86" s="29"/>
      <c r="O86" s="133"/>
      <c r="P86" s="133"/>
      <c r="Q86" s="136"/>
      <c r="R86" s="137">
        <f>SUM(E86:P86)</f>
        <v>154.73</v>
      </c>
    </row>
    <row r="87" spans="1:18" ht="13.5" customHeight="1">
      <c r="A87" s="246">
        <v>6</v>
      </c>
      <c r="B87" s="22" t="s">
        <v>5</v>
      </c>
      <c r="C87" s="17"/>
      <c r="D87" s="3"/>
      <c r="E87" s="106"/>
      <c r="F87" s="98"/>
      <c r="G87" s="95">
        <v>351.64</v>
      </c>
      <c r="H87" s="95"/>
      <c r="I87" s="95"/>
      <c r="J87" s="95"/>
      <c r="K87" s="29"/>
      <c r="L87" s="29"/>
      <c r="M87" s="29"/>
      <c r="N87" s="29"/>
      <c r="O87" s="133"/>
      <c r="P87" s="133"/>
      <c r="Q87" s="42"/>
      <c r="R87" s="137">
        <f>SUM(E87:P87)+Q87</f>
        <v>351.64</v>
      </c>
    </row>
    <row r="88" spans="1:18" ht="13.5" customHeight="1">
      <c r="A88" s="246">
        <v>7</v>
      </c>
      <c r="B88" s="22" t="s">
        <v>6</v>
      </c>
      <c r="C88" s="17"/>
      <c r="D88" s="3"/>
      <c r="E88" s="106"/>
      <c r="F88" s="98"/>
      <c r="G88" s="95">
        <v>68.64</v>
      </c>
      <c r="H88" s="97"/>
      <c r="I88" s="97"/>
      <c r="J88" s="95"/>
      <c r="K88" s="29"/>
      <c r="L88" s="29"/>
      <c r="M88" s="36"/>
      <c r="N88" s="29"/>
      <c r="O88" s="133"/>
      <c r="P88" s="133"/>
      <c r="Q88" s="136"/>
      <c r="R88" s="137">
        <f aca="true" t="shared" si="4" ref="R88:R113">SUM(E88:P88)</f>
        <v>68.64</v>
      </c>
    </row>
    <row r="89" spans="1:18" ht="13.5" customHeight="1">
      <c r="A89" s="246">
        <v>8</v>
      </c>
      <c r="B89" s="22" t="s">
        <v>7</v>
      </c>
      <c r="C89" s="17"/>
      <c r="D89" s="3"/>
      <c r="E89" s="106"/>
      <c r="F89" s="99"/>
      <c r="G89" s="95"/>
      <c r="H89" s="97"/>
      <c r="I89" s="97"/>
      <c r="J89" s="95"/>
      <c r="K89" s="29"/>
      <c r="L89" s="29"/>
      <c r="M89" s="36"/>
      <c r="N89" s="29"/>
      <c r="O89" s="133"/>
      <c r="P89" s="133"/>
      <c r="Q89" s="136"/>
      <c r="R89" s="137">
        <f t="shared" si="4"/>
        <v>0</v>
      </c>
    </row>
    <row r="90" spans="1:18" ht="13.5" customHeight="1">
      <c r="A90" s="246">
        <v>9</v>
      </c>
      <c r="B90" s="22" t="s">
        <v>8</v>
      </c>
      <c r="C90" s="17"/>
      <c r="D90" s="3"/>
      <c r="E90" s="107"/>
      <c r="F90" s="98"/>
      <c r="G90" s="95"/>
      <c r="H90" s="97"/>
      <c r="I90" s="97"/>
      <c r="J90" s="96"/>
      <c r="K90" s="29"/>
      <c r="L90" s="29"/>
      <c r="M90" s="36"/>
      <c r="N90" s="29"/>
      <c r="O90" s="133"/>
      <c r="P90" s="133"/>
      <c r="Q90" s="174"/>
      <c r="R90" s="137">
        <f t="shared" si="4"/>
        <v>0</v>
      </c>
    </row>
    <row r="91" spans="1:18" ht="13.5" customHeight="1">
      <c r="A91" s="246">
        <v>10</v>
      </c>
      <c r="B91" s="22" t="s">
        <v>9</v>
      </c>
      <c r="C91" s="17"/>
      <c r="D91" s="3"/>
      <c r="E91" s="107"/>
      <c r="F91" s="98"/>
      <c r="G91" s="95"/>
      <c r="H91" s="97"/>
      <c r="I91" s="97"/>
      <c r="J91" s="96"/>
      <c r="K91" s="36"/>
      <c r="L91" s="29"/>
      <c r="M91" s="36"/>
      <c r="N91" s="29"/>
      <c r="O91" s="133"/>
      <c r="P91" s="133"/>
      <c r="Q91" s="136"/>
      <c r="R91" s="137">
        <f t="shared" si="4"/>
        <v>0</v>
      </c>
    </row>
    <row r="92" spans="1:18" ht="13.5" customHeight="1">
      <c r="A92" s="246">
        <v>11</v>
      </c>
      <c r="B92" s="22" t="s">
        <v>10</v>
      </c>
      <c r="C92" s="17"/>
      <c r="D92" s="3"/>
      <c r="E92" s="107"/>
      <c r="F92" s="98"/>
      <c r="G92" s="95">
        <v>316.97</v>
      </c>
      <c r="H92" s="97"/>
      <c r="I92" s="97"/>
      <c r="J92" s="95"/>
      <c r="K92" s="36"/>
      <c r="L92" s="29"/>
      <c r="M92" s="36"/>
      <c r="N92" s="29"/>
      <c r="O92" s="133"/>
      <c r="P92" s="133"/>
      <c r="Q92" s="136"/>
      <c r="R92" s="137">
        <f t="shared" si="4"/>
        <v>316.97</v>
      </c>
    </row>
    <row r="93" spans="1:18" ht="13.5" customHeight="1">
      <c r="A93" s="246">
        <v>12</v>
      </c>
      <c r="B93" s="22" t="s">
        <v>11</v>
      </c>
      <c r="C93" s="17"/>
      <c r="D93" s="3"/>
      <c r="E93" s="107"/>
      <c r="F93" s="98"/>
      <c r="G93" s="95">
        <v>368.65</v>
      </c>
      <c r="H93" s="97"/>
      <c r="I93" s="97"/>
      <c r="J93" s="96"/>
      <c r="K93" s="29"/>
      <c r="L93" s="29"/>
      <c r="M93" s="29"/>
      <c r="N93" s="29"/>
      <c r="O93" s="133"/>
      <c r="P93" s="133"/>
      <c r="Q93" s="136"/>
      <c r="R93" s="137">
        <f t="shared" si="4"/>
        <v>368.65</v>
      </c>
    </row>
    <row r="94" spans="1:18" ht="13.5" customHeight="1">
      <c r="A94" s="246">
        <v>13</v>
      </c>
      <c r="B94" s="22" t="s">
        <v>13</v>
      </c>
      <c r="C94" s="17"/>
      <c r="D94" s="3"/>
      <c r="E94" s="107"/>
      <c r="F94" s="98"/>
      <c r="G94" s="95"/>
      <c r="H94" s="97"/>
      <c r="I94" s="97"/>
      <c r="J94" s="95"/>
      <c r="K94" s="36"/>
      <c r="L94" s="29"/>
      <c r="M94" s="29"/>
      <c r="N94" s="29"/>
      <c r="O94" s="133"/>
      <c r="P94" s="133"/>
      <c r="Q94" s="136"/>
      <c r="R94" s="137">
        <f t="shared" si="4"/>
        <v>0</v>
      </c>
    </row>
    <row r="95" spans="1:18" ht="13.5" customHeight="1">
      <c r="A95" s="246">
        <v>14</v>
      </c>
      <c r="B95" s="22" t="s">
        <v>14</v>
      </c>
      <c r="C95" s="17"/>
      <c r="D95" s="3"/>
      <c r="E95" s="107"/>
      <c r="F95" s="98"/>
      <c r="G95" s="95"/>
      <c r="H95" s="97"/>
      <c r="I95" s="97"/>
      <c r="J95" s="95"/>
      <c r="K95" s="29"/>
      <c r="L95" s="29"/>
      <c r="M95" s="36"/>
      <c r="N95" s="29"/>
      <c r="O95" s="133"/>
      <c r="P95" s="133"/>
      <c r="Q95" s="136"/>
      <c r="R95" s="137">
        <f t="shared" si="4"/>
        <v>0</v>
      </c>
    </row>
    <row r="96" spans="1:18" ht="13.5" customHeight="1">
      <c r="A96" s="246">
        <v>15</v>
      </c>
      <c r="B96" s="22" t="s">
        <v>15</v>
      </c>
      <c r="C96" s="17"/>
      <c r="D96" s="3"/>
      <c r="E96" s="107"/>
      <c r="F96" s="98"/>
      <c r="G96" s="95"/>
      <c r="H96" s="97"/>
      <c r="I96" s="97"/>
      <c r="J96" s="96"/>
      <c r="K96" s="36"/>
      <c r="L96" s="29"/>
      <c r="M96" s="36"/>
      <c r="N96" s="29"/>
      <c r="O96" s="133"/>
      <c r="P96" s="133"/>
      <c r="Q96" s="136"/>
      <c r="R96" s="137">
        <f t="shared" si="4"/>
        <v>0</v>
      </c>
    </row>
    <row r="97" spans="1:18" ht="13.5" customHeight="1">
      <c r="A97" s="246">
        <v>16</v>
      </c>
      <c r="B97" s="22" t="s">
        <v>16</v>
      </c>
      <c r="C97" s="17"/>
      <c r="D97" s="3"/>
      <c r="E97" s="107"/>
      <c r="F97" s="98"/>
      <c r="G97" s="95">
        <v>585.74</v>
      </c>
      <c r="H97" s="97"/>
      <c r="I97" s="97"/>
      <c r="J97" s="95"/>
      <c r="K97" s="36"/>
      <c r="L97" s="29"/>
      <c r="M97" s="36"/>
      <c r="N97" s="29"/>
      <c r="O97" s="133"/>
      <c r="P97" s="133"/>
      <c r="Q97" s="136"/>
      <c r="R97" s="137">
        <f t="shared" si="4"/>
        <v>585.74</v>
      </c>
    </row>
    <row r="98" spans="1:18" ht="13.5" customHeight="1">
      <c r="A98" s="246">
        <v>17</v>
      </c>
      <c r="B98" s="22" t="s">
        <v>17</v>
      </c>
      <c r="C98" s="17"/>
      <c r="D98" s="3"/>
      <c r="E98" s="107"/>
      <c r="F98" s="98"/>
      <c r="G98" s="95">
        <v>398.74</v>
      </c>
      <c r="H98" s="97"/>
      <c r="I98" s="97"/>
      <c r="J98" s="95"/>
      <c r="K98" s="36"/>
      <c r="L98" s="29"/>
      <c r="M98" s="36"/>
      <c r="N98" s="29"/>
      <c r="O98" s="133"/>
      <c r="P98" s="133"/>
      <c r="Q98" s="136"/>
      <c r="R98" s="137">
        <f t="shared" si="4"/>
        <v>398.74</v>
      </c>
    </row>
    <row r="99" spans="1:18" ht="13.5" customHeight="1">
      <c r="A99" s="246">
        <v>18</v>
      </c>
      <c r="B99" s="22" t="s">
        <v>18</v>
      </c>
      <c r="C99" s="17"/>
      <c r="D99" s="3"/>
      <c r="E99" s="107"/>
      <c r="F99" s="98"/>
      <c r="G99" s="95"/>
      <c r="H99" s="97"/>
      <c r="I99" s="97"/>
      <c r="J99" s="95"/>
      <c r="K99" s="29"/>
      <c r="L99" s="29"/>
      <c r="M99" s="29"/>
      <c r="N99" s="29"/>
      <c r="O99" s="133"/>
      <c r="P99" s="133"/>
      <c r="Q99" s="136"/>
      <c r="R99" s="137">
        <f t="shared" si="4"/>
        <v>0</v>
      </c>
    </row>
    <row r="100" spans="1:18" ht="13.5" customHeight="1">
      <c r="A100" s="246">
        <v>19</v>
      </c>
      <c r="B100" s="22" t="s">
        <v>19</v>
      </c>
      <c r="C100" s="17"/>
      <c r="D100" s="3"/>
      <c r="E100" s="107"/>
      <c r="F100" s="98"/>
      <c r="G100" s="95"/>
      <c r="H100" s="97"/>
      <c r="I100" s="97"/>
      <c r="J100" s="95"/>
      <c r="K100" s="36"/>
      <c r="L100" s="29"/>
      <c r="M100" s="36"/>
      <c r="N100" s="29"/>
      <c r="O100" s="133"/>
      <c r="P100" s="133"/>
      <c r="Q100" s="136"/>
      <c r="R100" s="137">
        <f t="shared" si="4"/>
        <v>0</v>
      </c>
    </row>
    <row r="101" spans="1:18" ht="13.5" customHeight="1">
      <c r="A101" s="246">
        <v>20</v>
      </c>
      <c r="B101" s="22" t="s">
        <v>20</v>
      </c>
      <c r="C101" s="58"/>
      <c r="D101" s="11"/>
      <c r="E101" s="107"/>
      <c r="F101" s="98"/>
      <c r="G101" s="95"/>
      <c r="H101" s="97"/>
      <c r="I101" s="97"/>
      <c r="J101" s="96"/>
      <c r="K101" s="36"/>
      <c r="L101" s="29"/>
      <c r="M101" s="36"/>
      <c r="N101" s="29"/>
      <c r="O101" s="133"/>
      <c r="P101" s="133"/>
      <c r="Q101" s="136"/>
      <c r="R101" s="137">
        <f t="shared" si="4"/>
        <v>0</v>
      </c>
    </row>
    <row r="102" spans="1:18" ht="13.5" customHeight="1">
      <c r="A102" s="246">
        <v>21</v>
      </c>
      <c r="B102" s="22" t="s">
        <v>21</v>
      </c>
      <c r="C102" s="58"/>
      <c r="D102" s="10"/>
      <c r="E102" s="107"/>
      <c r="F102" s="98"/>
      <c r="G102" s="95">
        <v>112.16</v>
      </c>
      <c r="H102" s="97"/>
      <c r="I102" s="97"/>
      <c r="J102" s="95"/>
      <c r="K102" s="36"/>
      <c r="L102" s="29"/>
      <c r="M102" s="36"/>
      <c r="N102" s="29"/>
      <c r="O102" s="133"/>
      <c r="P102" s="133"/>
      <c r="Q102" s="136"/>
      <c r="R102" s="137">
        <f t="shared" si="4"/>
        <v>112.16</v>
      </c>
    </row>
    <row r="103" spans="1:18" ht="13.5" customHeight="1">
      <c r="A103" s="246">
        <v>22</v>
      </c>
      <c r="B103" s="22" t="s">
        <v>22</v>
      </c>
      <c r="C103" s="58"/>
      <c r="D103" s="10"/>
      <c r="E103" s="107"/>
      <c r="F103" s="98"/>
      <c r="G103" s="95"/>
      <c r="H103" s="97"/>
      <c r="I103" s="97"/>
      <c r="J103" s="95"/>
      <c r="K103" s="36"/>
      <c r="L103" s="29"/>
      <c r="M103" s="36"/>
      <c r="N103" s="29"/>
      <c r="O103" s="133"/>
      <c r="P103" s="133"/>
      <c r="Q103" s="136"/>
      <c r="R103" s="137">
        <f t="shared" si="4"/>
        <v>0</v>
      </c>
    </row>
    <row r="104" spans="1:18" ht="13.5" customHeight="1">
      <c r="A104" s="246">
        <v>23</v>
      </c>
      <c r="B104" s="22" t="s">
        <v>23</v>
      </c>
      <c r="C104" s="58"/>
      <c r="D104" s="10"/>
      <c r="E104" s="107"/>
      <c r="F104" s="98"/>
      <c r="G104" s="95">
        <v>395.41</v>
      </c>
      <c r="H104" s="97"/>
      <c r="I104" s="97"/>
      <c r="J104" s="95"/>
      <c r="K104" s="29"/>
      <c r="L104" s="29"/>
      <c r="M104" s="36"/>
      <c r="N104" s="29"/>
      <c r="O104" s="133"/>
      <c r="P104" s="133"/>
      <c r="Q104" s="136"/>
      <c r="R104" s="137">
        <f t="shared" si="4"/>
        <v>395.41</v>
      </c>
    </row>
    <row r="105" spans="1:18" ht="13.5" customHeight="1">
      <c r="A105" s="246">
        <v>24</v>
      </c>
      <c r="B105" s="22" t="s">
        <v>24</v>
      </c>
      <c r="C105" s="58"/>
      <c r="D105" s="10"/>
      <c r="E105" s="107"/>
      <c r="F105" s="98"/>
      <c r="G105" s="95"/>
      <c r="H105" s="97"/>
      <c r="I105" s="97"/>
      <c r="J105" s="95"/>
      <c r="K105" s="4"/>
      <c r="L105" s="29"/>
      <c r="M105" s="36"/>
      <c r="N105" s="29"/>
      <c r="O105" s="133"/>
      <c r="P105" s="133"/>
      <c r="Q105" s="136"/>
      <c r="R105" s="137">
        <f t="shared" si="4"/>
        <v>0</v>
      </c>
    </row>
    <row r="106" spans="1:18" ht="13.5" customHeight="1">
      <c r="A106" s="246">
        <v>25</v>
      </c>
      <c r="B106" s="22" t="s">
        <v>25</v>
      </c>
      <c r="C106" s="58"/>
      <c r="D106" s="10"/>
      <c r="E106" s="107"/>
      <c r="F106" s="98"/>
      <c r="G106" s="95"/>
      <c r="H106" s="95"/>
      <c r="I106" s="98"/>
      <c r="J106" s="96"/>
      <c r="K106" s="4"/>
      <c r="L106" s="29"/>
      <c r="M106" s="4"/>
      <c r="N106" s="29"/>
      <c r="O106" s="133"/>
      <c r="P106" s="133"/>
      <c r="Q106" s="136"/>
      <c r="R106" s="137">
        <f t="shared" si="4"/>
        <v>0</v>
      </c>
    </row>
    <row r="107" spans="1:18" ht="13.5" customHeight="1">
      <c r="A107" s="246">
        <v>26</v>
      </c>
      <c r="B107" s="22" t="s">
        <v>26</v>
      </c>
      <c r="C107" s="58"/>
      <c r="D107" s="10"/>
      <c r="E107" s="107"/>
      <c r="F107" s="98"/>
      <c r="G107" s="95"/>
      <c r="H107" s="98"/>
      <c r="I107" s="98"/>
      <c r="J107" s="96"/>
      <c r="K107" s="4"/>
      <c r="L107" s="29"/>
      <c r="M107" s="4"/>
      <c r="N107" s="29"/>
      <c r="O107" s="133"/>
      <c r="P107" s="133"/>
      <c r="Q107" s="136"/>
      <c r="R107" s="137">
        <f t="shared" si="4"/>
        <v>0</v>
      </c>
    </row>
    <row r="108" spans="1:18" ht="13.5" customHeight="1">
      <c r="A108" s="246">
        <v>27</v>
      </c>
      <c r="B108" s="22" t="s">
        <v>29</v>
      </c>
      <c r="C108" s="58"/>
      <c r="D108" s="10"/>
      <c r="E108" s="107"/>
      <c r="F108" s="98"/>
      <c r="G108" s="95"/>
      <c r="H108" s="98"/>
      <c r="I108" s="98"/>
      <c r="J108" s="96"/>
      <c r="K108" s="4"/>
      <c r="L108" s="29"/>
      <c r="M108" s="4"/>
      <c r="N108" s="29"/>
      <c r="O108" s="133"/>
      <c r="P108" s="133"/>
      <c r="Q108" s="136"/>
      <c r="R108" s="137">
        <f t="shared" si="4"/>
        <v>0</v>
      </c>
    </row>
    <row r="109" spans="1:18" ht="13.5" customHeight="1">
      <c r="A109" s="246">
        <v>28</v>
      </c>
      <c r="B109" s="22" t="s">
        <v>31</v>
      </c>
      <c r="C109" s="58"/>
      <c r="D109" s="10"/>
      <c r="E109" s="107"/>
      <c r="F109" s="98"/>
      <c r="G109" s="95">
        <f>1052.55</f>
        <v>1052.55</v>
      </c>
      <c r="H109" s="98"/>
      <c r="I109" s="98"/>
      <c r="J109" s="98"/>
      <c r="K109" s="4"/>
      <c r="L109" s="29">
        <v>719.82</v>
      </c>
      <c r="M109" s="36"/>
      <c r="N109" s="29"/>
      <c r="O109" s="133"/>
      <c r="P109" s="133"/>
      <c r="Q109" s="136"/>
      <c r="R109" s="137">
        <f t="shared" si="4"/>
        <v>1772.37</v>
      </c>
    </row>
    <row r="110" spans="1:18" ht="13.5" customHeight="1">
      <c r="A110" s="246">
        <v>29</v>
      </c>
      <c r="B110" s="22" t="s">
        <v>32</v>
      </c>
      <c r="C110" s="58"/>
      <c r="D110" s="10"/>
      <c r="E110" s="107"/>
      <c r="F110" s="98"/>
      <c r="G110" s="95"/>
      <c r="H110" s="98"/>
      <c r="I110" s="98"/>
      <c r="J110" s="98"/>
      <c r="K110" s="4"/>
      <c r="L110" s="29"/>
      <c r="M110" s="4"/>
      <c r="N110" s="29"/>
      <c r="O110" s="133"/>
      <c r="P110" s="133"/>
      <c r="Q110" s="136"/>
      <c r="R110" s="137">
        <f t="shared" si="4"/>
        <v>0</v>
      </c>
    </row>
    <row r="111" spans="1:18" ht="13.5" customHeight="1">
      <c r="A111" s="246">
        <v>30</v>
      </c>
      <c r="B111" s="23" t="s">
        <v>34</v>
      </c>
      <c r="C111" s="58"/>
      <c r="D111" s="10"/>
      <c r="E111" s="107"/>
      <c r="F111" s="100"/>
      <c r="G111" s="95"/>
      <c r="H111" s="100"/>
      <c r="I111" s="100"/>
      <c r="J111" s="100"/>
      <c r="K111" s="4"/>
      <c r="L111" s="29"/>
      <c r="M111" s="4"/>
      <c r="N111" s="29"/>
      <c r="O111" s="133"/>
      <c r="P111" s="133"/>
      <c r="Q111" s="136"/>
      <c r="R111" s="137">
        <f t="shared" si="4"/>
        <v>0</v>
      </c>
    </row>
    <row r="112" spans="1:18" ht="13.5" customHeight="1">
      <c r="A112" s="246">
        <v>31</v>
      </c>
      <c r="B112" s="23" t="s">
        <v>41</v>
      </c>
      <c r="C112" s="58"/>
      <c r="D112" s="10"/>
      <c r="E112" s="96"/>
      <c r="F112" s="100"/>
      <c r="G112" s="95"/>
      <c r="H112" s="96"/>
      <c r="I112" s="100"/>
      <c r="J112" s="101"/>
      <c r="K112" s="4"/>
      <c r="L112" s="29"/>
      <c r="M112" s="109"/>
      <c r="N112" s="29"/>
      <c r="O112" s="133"/>
      <c r="P112" s="133"/>
      <c r="Q112" s="136"/>
      <c r="R112" s="137">
        <f t="shared" si="4"/>
        <v>0</v>
      </c>
    </row>
    <row r="113" spans="1:18" ht="13.5" customHeight="1" thickBot="1">
      <c r="A113" s="246">
        <v>32</v>
      </c>
      <c r="B113" s="24" t="s">
        <v>38</v>
      </c>
      <c r="C113" s="78"/>
      <c r="D113" s="52"/>
      <c r="E113" s="108"/>
      <c r="F113" s="103"/>
      <c r="G113" s="102"/>
      <c r="H113" s="102"/>
      <c r="I113" s="103"/>
      <c r="J113" s="104"/>
      <c r="K113" s="54"/>
      <c r="L113" s="55"/>
      <c r="M113" s="110"/>
      <c r="N113" s="55"/>
      <c r="O113" s="134"/>
      <c r="P113" s="134"/>
      <c r="Q113" s="138"/>
      <c r="R113" s="137">
        <f t="shared" si="4"/>
        <v>0</v>
      </c>
    </row>
    <row r="114" spans="1:18" ht="13.5" customHeight="1" thickBot="1">
      <c r="A114" s="178"/>
      <c r="B114" s="175" t="s">
        <v>12</v>
      </c>
      <c r="C114" s="228">
        <f>SUM(C82:C113)</f>
        <v>0</v>
      </c>
      <c r="D114" s="228">
        <f>SUM(D82:D113)</f>
        <v>0</v>
      </c>
      <c r="E114" s="229">
        <f>SUM(E82:E112)+E113</f>
        <v>0</v>
      </c>
      <c r="F114" s="230">
        <f aca="true" t="shared" si="5" ref="F114:Q114">SUM(F82:F112)</f>
        <v>0</v>
      </c>
      <c r="G114" s="230">
        <f t="shared" si="5"/>
        <v>4788.33</v>
      </c>
      <c r="H114" s="230">
        <f t="shared" si="5"/>
        <v>0</v>
      </c>
      <c r="I114" s="230">
        <f t="shared" si="5"/>
        <v>0</v>
      </c>
      <c r="J114" s="230">
        <f t="shared" si="5"/>
        <v>0</v>
      </c>
      <c r="K114" s="230">
        <f t="shared" si="5"/>
        <v>0</v>
      </c>
      <c r="L114" s="230">
        <f>SUM(L82:L113)</f>
        <v>719.82</v>
      </c>
      <c r="M114" s="230">
        <f>SUM(M82:M112)</f>
        <v>0</v>
      </c>
      <c r="N114" s="228">
        <f t="shared" si="5"/>
        <v>0</v>
      </c>
      <c r="O114" s="228">
        <f t="shared" si="5"/>
        <v>0</v>
      </c>
      <c r="P114" s="228">
        <f t="shared" si="5"/>
        <v>0</v>
      </c>
      <c r="Q114" s="329">
        <f t="shared" si="5"/>
        <v>0</v>
      </c>
      <c r="R114" s="231">
        <f>SUM(R82:R112)+R113</f>
        <v>5508.15</v>
      </c>
    </row>
    <row r="115" spans="1:18" ht="13.5" customHeight="1" thickBot="1">
      <c r="A115" s="178"/>
      <c r="B115" s="179"/>
      <c r="C115" s="232">
        <v>2110</v>
      </c>
      <c r="D115" s="232">
        <v>2111</v>
      </c>
      <c r="E115" s="233">
        <v>2210</v>
      </c>
      <c r="F115" s="181">
        <v>2220</v>
      </c>
      <c r="G115" s="181">
        <v>2230</v>
      </c>
      <c r="H115" s="181">
        <v>2240</v>
      </c>
      <c r="I115" s="181">
        <v>2800</v>
      </c>
      <c r="J115" s="181">
        <v>2250</v>
      </c>
      <c r="K115" s="182">
        <v>2272</v>
      </c>
      <c r="L115" s="182">
        <v>2273</v>
      </c>
      <c r="M115" s="181">
        <v>2274</v>
      </c>
      <c r="N115" s="181">
        <v>2275</v>
      </c>
      <c r="O115" s="181">
        <v>3110</v>
      </c>
      <c r="P115" s="182">
        <v>2730</v>
      </c>
      <c r="Q115" s="183">
        <v>2271</v>
      </c>
      <c r="R115" s="234">
        <f>E114+F114+G114+H114+K114+L114+M114+N114+O114+P114+Q114+J114+I114</f>
        <v>5508.15</v>
      </c>
    </row>
    <row r="116" spans="2:18" ht="13.5" customHeight="1">
      <c r="B116" s="256" t="s">
        <v>43</v>
      </c>
      <c r="C116" s="88"/>
      <c r="D116" s="88"/>
      <c r="E116" s="88"/>
      <c r="F116" s="88"/>
      <c r="G116" s="257">
        <v>4788.33</v>
      </c>
      <c r="H116" s="257"/>
      <c r="I116" s="257"/>
      <c r="J116" s="257"/>
      <c r="K116" s="257"/>
      <c r="L116" s="257">
        <v>719.82</v>
      </c>
      <c r="M116" s="88"/>
      <c r="N116" s="88"/>
      <c r="O116" s="88"/>
      <c r="P116" s="88"/>
      <c r="Q116" s="88"/>
      <c r="R116" s="366">
        <f>SUM(C116:Q116)</f>
        <v>5508.15</v>
      </c>
    </row>
    <row r="117" spans="2:18" ht="13.5" customHeight="1">
      <c r="B117" s="337" t="s">
        <v>12</v>
      </c>
      <c r="C117" s="357"/>
      <c r="D117" s="357"/>
      <c r="E117" s="357"/>
      <c r="F117" s="357"/>
      <c r="G117" s="358">
        <f>SUM(G116:G116)</f>
        <v>4788.33</v>
      </c>
      <c r="H117" s="358">
        <f>SUM(H116:H116)</f>
        <v>0</v>
      </c>
      <c r="I117" s="358">
        <f>SUM(I116:I116)</f>
        <v>0</v>
      </c>
      <c r="J117" s="357"/>
      <c r="K117" s="358">
        <f>SUM(K116:K116)</f>
        <v>0</v>
      </c>
      <c r="L117" s="358">
        <f>SUM(L116:L116)</f>
        <v>719.82</v>
      </c>
      <c r="M117" s="358">
        <f>SUM(M116:M116)</f>
        <v>0</v>
      </c>
      <c r="N117" s="358">
        <f>SUM(N116:N116)</f>
        <v>0</v>
      </c>
      <c r="O117" s="357"/>
      <c r="P117" s="357"/>
      <c r="Q117" s="358">
        <f>SUM(Q116:Q116)</f>
        <v>0</v>
      </c>
      <c r="R117" s="358">
        <f>SUM(R116:R116)</f>
        <v>5508.15</v>
      </c>
    </row>
    <row r="118" spans="2:18" ht="13.5" customHeight="1"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</row>
    <row r="119" spans="2:18" ht="13.5" customHeight="1" thickBot="1">
      <c r="B119" s="435" t="s">
        <v>44</v>
      </c>
      <c r="C119" s="435"/>
      <c r="D119" s="435"/>
      <c r="E119" s="435"/>
      <c r="F119" s="435"/>
      <c r="G119" s="435"/>
      <c r="H119" s="435"/>
      <c r="I119" s="435"/>
      <c r="J119" s="435"/>
      <c r="K119" s="435"/>
      <c r="L119" s="435"/>
      <c r="M119" s="435"/>
      <c r="N119" s="435"/>
      <c r="O119" s="435"/>
      <c r="P119" s="435"/>
      <c r="Q119" s="435"/>
      <c r="R119" s="435"/>
    </row>
    <row r="120" spans="2:18" ht="13.5" customHeight="1" thickBot="1">
      <c r="B120" s="25" t="s">
        <v>36</v>
      </c>
      <c r="C120" s="211">
        <v>2110</v>
      </c>
      <c r="D120" s="211">
        <v>2111</v>
      </c>
      <c r="E120" s="207">
        <v>2210</v>
      </c>
      <c r="F120" s="120">
        <v>2220</v>
      </c>
      <c r="G120" s="120">
        <v>2230</v>
      </c>
      <c r="H120" s="120">
        <v>2240</v>
      </c>
      <c r="I120" s="120">
        <v>2800</v>
      </c>
      <c r="J120" s="120">
        <v>2250</v>
      </c>
      <c r="K120" s="15">
        <v>2272</v>
      </c>
      <c r="L120" s="15">
        <v>2273</v>
      </c>
      <c r="M120" s="121">
        <v>2274</v>
      </c>
      <c r="N120" s="121">
        <v>2275</v>
      </c>
      <c r="O120" s="121">
        <v>3110</v>
      </c>
      <c r="P120" s="15">
        <v>2282</v>
      </c>
      <c r="Q120" s="210">
        <v>2730</v>
      </c>
      <c r="R120" s="365" t="s">
        <v>35</v>
      </c>
    </row>
    <row r="121" spans="1:18" ht="13.5" customHeight="1">
      <c r="A121" s="246">
        <v>1</v>
      </c>
      <c r="B121" s="21" t="s">
        <v>0</v>
      </c>
      <c r="C121" s="140"/>
      <c r="D121" s="141"/>
      <c r="E121" s="142"/>
      <c r="F121" s="141"/>
      <c r="G121" s="143"/>
      <c r="H121" s="143"/>
      <c r="I121" s="143"/>
      <c r="J121" s="173"/>
      <c r="K121" s="132"/>
      <c r="L121" s="144"/>
      <c r="M121" s="132"/>
      <c r="N121" s="145"/>
      <c r="O121" s="132"/>
      <c r="P121" s="132"/>
      <c r="Q121" s="135"/>
      <c r="R121" s="146">
        <f>SUM(E121:P121)</f>
        <v>0</v>
      </c>
    </row>
    <row r="122" spans="1:18" ht="13.5" customHeight="1">
      <c r="A122" s="246">
        <v>2</v>
      </c>
      <c r="B122" s="22" t="s">
        <v>1</v>
      </c>
      <c r="C122" s="147"/>
      <c r="D122" s="148"/>
      <c r="E122" s="149"/>
      <c r="F122" s="148"/>
      <c r="G122" s="150"/>
      <c r="H122" s="151"/>
      <c r="I122" s="151"/>
      <c r="J122" s="152"/>
      <c r="K122" s="133"/>
      <c r="L122" s="153"/>
      <c r="M122" s="153"/>
      <c r="N122" s="154"/>
      <c r="O122" s="133"/>
      <c r="P122" s="133"/>
      <c r="Q122" s="136"/>
      <c r="R122" s="155">
        <f>SUM(E122:P122)</f>
        <v>0</v>
      </c>
    </row>
    <row r="123" spans="1:18" ht="13.5" customHeight="1">
      <c r="A123" s="246">
        <v>3</v>
      </c>
      <c r="B123" s="22" t="s">
        <v>2</v>
      </c>
      <c r="C123" s="147"/>
      <c r="D123" s="148"/>
      <c r="E123" s="149"/>
      <c r="F123" s="152"/>
      <c r="G123" s="150"/>
      <c r="H123" s="151"/>
      <c r="I123" s="151"/>
      <c r="J123" s="150"/>
      <c r="K123" s="133"/>
      <c r="L123" s="153"/>
      <c r="M123" s="153"/>
      <c r="N123" s="154"/>
      <c r="O123" s="133"/>
      <c r="P123" s="153"/>
      <c r="Q123" s="136"/>
      <c r="R123" s="155">
        <f>SUM(E123:P123)</f>
        <v>0</v>
      </c>
    </row>
    <row r="124" spans="1:18" ht="13.5" customHeight="1">
      <c r="A124" s="246">
        <v>4</v>
      </c>
      <c r="B124" s="22" t="s">
        <v>3</v>
      </c>
      <c r="C124" s="147"/>
      <c r="D124" s="148"/>
      <c r="E124" s="149"/>
      <c r="F124" s="148"/>
      <c r="G124" s="150"/>
      <c r="H124" s="151"/>
      <c r="I124" s="151"/>
      <c r="J124" s="150"/>
      <c r="K124" s="133"/>
      <c r="L124" s="153"/>
      <c r="M124" s="153"/>
      <c r="N124" s="154"/>
      <c r="O124" s="133"/>
      <c r="P124" s="153"/>
      <c r="Q124" s="136"/>
      <c r="R124" s="155">
        <f>SUM(E124:P124)</f>
        <v>0</v>
      </c>
    </row>
    <row r="125" spans="1:18" ht="13.5" customHeight="1">
      <c r="A125" s="246">
        <v>5</v>
      </c>
      <c r="B125" s="22" t="s">
        <v>4</v>
      </c>
      <c r="C125" s="147"/>
      <c r="D125" s="148"/>
      <c r="E125" s="149"/>
      <c r="F125" s="148"/>
      <c r="G125" s="150"/>
      <c r="H125" s="151"/>
      <c r="I125" s="151"/>
      <c r="J125" s="150"/>
      <c r="K125" s="133"/>
      <c r="L125" s="153"/>
      <c r="M125" s="153"/>
      <c r="N125" s="153"/>
      <c r="O125" s="133"/>
      <c r="P125" s="153"/>
      <c r="Q125" s="136"/>
      <c r="R125" s="155">
        <f>SUM(E125:P125)</f>
        <v>0</v>
      </c>
    </row>
    <row r="126" spans="1:18" ht="13.5" customHeight="1">
      <c r="A126" s="246">
        <v>6</v>
      </c>
      <c r="B126" s="22" t="s">
        <v>5</v>
      </c>
      <c r="C126" s="147"/>
      <c r="D126" s="148"/>
      <c r="E126" s="149"/>
      <c r="F126" s="148"/>
      <c r="G126" s="150"/>
      <c r="H126" s="150"/>
      <c r="I126" s="150"/>
      <c r="J126" s="150"/>
      <c r="K126" s="153"/>
      <c r="L126" s="153"/>
      <c r="M126" s="153"/>
      <c r="N126" s="153"/>
      <c r="O126" s="133"/>
      <c r="P126" s="153"/>
      <c r="Q126" s="174"/>
      <c r="R126" s="155">
        <f>SUM(E126:P126)+Q126</f>
        <v>0</v>
      </c>
    </row>
    <row r="127" spans="1:18" ht="13.5" customHeight="1">
      <c r="A127" s="246">
        <v>7</v>
      </c>
      <c r="B127" s="22" t="s">
        <v>6</v>
      </c>
      <c r="C127" s="147"/>
      <c r="D127" s="148"/>
      <c r="E127" s="149"/>
      <c r="F127" s="148"/>
      <c r="G127" s="150"/>
      <c r="H127" s="151"/>
      <c r="I127" s="151"/>
      <c r="J127" s="152"/>
      <c r="K127" s="153"/>
      <c r="L127" s="153"/>
      <c r="M127" s="156"/>
      <c r="N127" s="153"/>
      <c r="O127" s="133"/>
      <c r="P127" s="153"/>
      <c r="Q127" s="136"/>
      <c r="R127" s="155">
        <f aca="true" t="shared" si="6" ref="R127:R156">SUM(E127:P127)</f>
        <v>0</v>
      </c>
    </row>
    <row r="128" spans="1:18" ht="13.5" customHeight="1">
      <c r="A128" s="246">
        <v>8</v>
      </c>
      <c r="B128" s="22" t="s">
        <v>7</v>
      </c>
      <c r="C128" s="147"/>
      <c r="D128" s="148"/>
      <c r="E128" s="149"/>
      <c r="F128" s="157"/>
      <c r="G128" s="150"/>
      <c r="H128" s="151"/>
      <c r="I128" s="151"/>
      <c r="J128" s="150"/>
      <c r="K128" s="153"/>
      <c r="L128" s="153"/>
      <c r="M128" s="156"/>
      <c r="N128" s="156"/>
      <c r="O128" s="133"/>
      <c r="P128" s="153"/>
      <c r="Q128" s="136"/>
      <c r="R128" s="155">
        <f t="shared" si="6"/>
        <v>0</v>
      </c>
    </row>
    <row r="129" spans="1:18" ht="13.5" customHeight="1">
      <c r="A129" s="246">
        <v>9</v>
      </c>
      <c r="B129" s="22" t="s">
        <v>8</v>
      </c>
      <c r="C129" s="147"/>
      <c r="D129" s="148"/>
      <c r="E129" s="158"/>
      <c r="F129" s="148"/>
      <c r="G129" s="150"/>
      <c r="H129" s="151"/>
      <c r="I129" s="151"/>
      <c r="J129" s="152"/>
      <c r="K129" s="153"/>
      <c r="L129" s="153"/>
      <c r="M129" s="156"/>
      <c r="N129" s="153"/>
      <c r="O129" s="133"/>
      <c r="P129" s="153"/>
      <c r="Q129" s="136"/>
      <c r="R129" s="155">
        <f t="shared" si="6"/>
        <v>0</v>
      </c>
    </row>
    <row r="130" spans="1:18" ht="13.5" customHeight="1">
      <c r="A130" s="246">
        <v>10</v>
      </c>
      <c r="B130" s="22" t="s">
        <v>9</v>
      </c>
      <c r="C130" s="147"/>
      <c r="D130" s="148"/>
      <c r="E130" s="158"/>
      <c r="F130" s="148"/>
      <c r="G130" s="150"/>
      <c r="H130" s="151"/>
      <c r="I130" s="151"/>
      <c r="J130" s="152"/>
      <c r="K130" s="153"/>
      <c r="L130" s="153"/>
      <c r="M130" s="156"/>
      <c r="N130" s="153"/>
      <c r="O130" s="133"/>
      <c r="P130" s="153"/>
      <c r="Q130" s="136"/>
      <c r="R130" s="155">
        <f t="shared" si="6"/>
        <v>0</v>
      </c>
    </row>
    <row r="131" spans="1:18" ht="13.5" customHeight="1">
      <c r="A131" s="246">
        <v>11</v>
      </c>
      <c r="B131" s="22" t="s">
        <v>10</v>
      </c>
      <c r="C131" s="147"/>
      <c r="D131" s="148"/>
      <c r="E131" s="158"/>
      <c r="F131" s="148"/>
      <c r="G131" s="150"/>
      <c r="H131" s="151"/>
      <c r="I131" s="151"/>
      <c r="J131" s="150"/>
      <c r="K131" s="153"/>
      <c r="L131" s="153"/>
      <c r="M131" s="156"/>
      <c r="N131" s="156"/>
      <c r="O131" s="133"/>
      <c r="P131" s="153"/>
      <c r="Q131" s="136"/>
      <c r="R131" s="155">
        <f t="shared" si="6"/>
        <v>0</v>
      </c>
    </row>
    <row r="132" spans="1:18" ht="13.5" customHeight="1">
      <c r="A132" s="246">
        <v>12</v>
      </c>
      <c r="B132" s="22" t="s">
        <v>11</v>
      </c>
      <c r="C132" s="147"/>
      <c r="D132" s="148"/>
      <c r="E132" s="158"/>
      <c r="F132" s="148"/>
      <c r="G132" s="150"/>
      <c r="H132" s="151"/>
      <c r="I132" s="151"/>
      <c r="J132" s="150"/>
      <c r="K132" s="153"/>
      <c r="L132" s="153"/>
      <c r="M132" s="153"/>
      <c r="N132" s="156"/>
      <c r="O132" s="133"/>
      <c r="P132" s="153"/>
      <c r="Q132" s="136"/>
      <c r="R132" s="155">
        <f t="shared" si="6"/>
        <v>0</v>
      </c>
    </row>
    <row r="133" spans="1:18" ht="13.5" customHeight="1">
      <c r="A133" s="246">
        <v>13</v>
      </c>
      <c r="B133" s="22" t="s">
        <v>13</v>
      </c>
      <c r="C133" s="147"/>
      <c r="D133" s="148"/>
      <c r="E133" s="158"/>
      <c r="F133" s="148"/>
      <c r="G133" s="150"/>
      <c r="H133" s="151"/>
      <c r="I133" s="151"/>
      <c r="J133" s="152"/>
      <c r="K133" s="153"/>
      <c r="L133" s="153"/>
      <c r="M133" s="153"/>
      <c r="N133" s="156"/>
      <c r="O133" s="133"/>
      <c r="P133" s="153"/>
      <c r="Q133" s="136"/>
      <c r="R133" s="155">
        <f t="shared" si="6"/>
        <v>0</v>
      </c>
    </row>
    <row r="134" spans="1:18" ht="13.5" customHeight="1">
      <c r="A134" s="246">
        <v>14</v>
      </c>
      <c r="B134" s="22" t="s">
        <v>14</v>
      </c>
      <c r="C134" s="147"/>
      <c r="D134" s="148"/>
      <c r="E134" s="158"/>
      <c r="F134" s="148"/>
      <c r="G134" s="150"/>
      <c r="H134" s="151"/>
      <c r="I134" s="151"/>
      <c r="J134" s="150"/>
      <c r="K134" s="153"/>
      <c r="L134" s="153"/>
      <c r="M134" s="156"/>
      <c r="N134" s="156"/>
      <c r="O134" s="133"/>
      <c r="P134" s="153"/>
      <c r="Q134" s="136"/>
      <c r="R134" s="155">
        <f t="shared" si="6"/>
        <v>0</v>
      </c>
    </row>
    <row r="135" spans="1:18" ht="13.5" customHeight="1">
      <c r="A135" s="246">
        <v>15</v>
      </c>
      <c r="B135" s="22" t="s">
        <v>15</v>
      </c>
      <c r="C135" s="147"/>
      <c r="D135" s="148"/>
      <c r="E135" s="158"/>
      <c r="F135" s="148"/>
      <c r="G135" s="150"/>
      <c r="H135" s="151"/>
      <c r="I135" s="151"/>
      <c r="J135" s="150"/>
      <c r="K135" s="133"/>
      <c r="L135" s="153"/>
      <c r="M135" s="156"/>
      <c r="N135" s="156"/>
      <c r="O135" s="133"/>
      <c r="P135" s="153"/>
      <c r="Q135" s="136"/>
      <c r="R135" s="155">
        <f t="shared" si="6"/>
        <v>0</v>
      </c>
    </row>
    <row r="136" spans="1:18" ht="13.5" customHeight="1">
      <c r="A136" s="246">
        <v>16</v>
      </c>
      <c r="B136" s="22" t="s">
        <v>16</v>
      </c>
      <c r="C136" s="147"/>
      <c r="D136" s="148"/>
      <c r="E136" s="158"/>
      <c r="F136" s="148"/>
      <c r="G136" s="150"/>
      <c r="H136" s="151"/>
      <c r="I136" s="151"/>
      <c r="J136" s="152"/>
      <c r="K136" s="133"/>
      <c r="L136" s="153"/>
      <c r="M136" s="156"/>
      <c r="N136" s="153"/>
      <c r="O136" s="133"/>
      <c r="P136" s="153"/>
      <c r="Q136" s="136"/>
      <c r="R136" s="155">
        <f t="shared" si="6"/>
        <v>0</v>
      </c>
    </row>
    <row r="137" spans="1:18" ht="13.5" customHeight="1">
      <c r="A137" s="246">
        <v>17</v>
      </c>
      <c r="B137" s="22" t="s">
        <v>17</v>
      </c>
      <c r="C137" s="147"/>
      <c r="D137" s="148"/>
      <c r="E137" s="158"/>
      <c r="F137" s="148"/>
      <c r="G137" s="150"/>
      <c r="H137" s="151"/>
      <c r="I137" s="151"/>
      <c r="J137" s="150"/>
      <c r="K137" s="133"/>
      <c r="L137" s="153"/>
      <c r="M137" s="156"/>
      <c r="N137" s="153"/>
      <c r="O137" s="133"/>
      <c r="P137" s="153"/>
      <c r="Q137" s="136"/>
      <c r="R137" s="155">
        <f t="shared" si="6"/>
        <v>0</v>
      </c>
    </row>
    <row r="138" spans="1:18" ht="13.5" customHeight="1">
      <c r="A138" s="246">
        <v>18</v>
      </c>
      <c r="B138" s="22" t="s">
        <v>18</v>
      </c>
      <c r="C138" s="147"/>
      <c r="D138" s="148"/>
      <c r="E138" s="249"/>
      <c r="F138" s="148"/>
      <c r="G138" s="150"/>
      <c r="H138" s="151"/>
      <c r="I138" s="151"/>
      <c r="J138" s="150"/>
      <c r="K138" s="153"/>
      <c r="L138" s="153"/>
      <c r="M138" s="153"/>
      <c r="N138" s="153"/>
      <c r="O138" s="133"/>
      <c r="P138" s="153"/>
      <c r="Q138" s="136"/>
      <c r="R138" s="155">
        <f t="shared" si="6"/>
        <v>0</v>
      </c>
    </row>
    <row r="139" spans="1:18" ht="13.5" customHeight="1">
      <c r="A139" s="246">
        <v>19</v>
      </c>
      <c r="B139" s="22" t="s">
        <v>19</v>
      </c>
      <c r="C139" s="147"/>
      <c r="D139" s="148"/>
      <c r="E139" s="158"/>
      <c r="F139" s="148"/>
      <c r="G139" s="150"/>
      <c r="H139" s="151"/>
      <c r="I139" s="151"/>
      <c r="J139" s="150"/>
      <c r="K139" s="133"/>
      <c r="L139" s="153"/>
      <c r="M139" s="156"/>
      <c r="N139" s="156"/>
      <c r="O139" s="133"/>
      <c r="P139" s="153"/>
      <c r="Q139" s="136"/>
      <c r="R139" s="155">
        <f t="shared" si="6"/>
        <v>0</v>
      </c>
    </row>
    <row r="140" spans="1:18" ht="13.5" customHeight="1">
      <c r="A140" s="246">
        <v>20</v>
      </c>
      <c r="B140" s="22" t="s">
        <v>20</v>
      </c>
      <c r="C140" s="159"/>
      <c r="D140" s="150"/>
      <c r="E140" s="158"/>
      <c r="F140" s="148"/>
      <c r="G140" s="150"/>
      <c r="H140" s="151"/>
      <c r="I140" s="151"/>
      <c r="J140" s="150"/>
      <c r="K140" s="133"/>
      <c r="L140" s="153"/>
      <c r="M140" s="156"/>
      <c r="N140" s="156"/>
      <c r="O140" s="133"/>
      <c r="P140" s="153"/>
      <c r="Q140" s="136"/>
      <c r="R140" s="155">
        <f t="shared" si="6"/>
        <v>0</v>
      </c>
    </row>
    <row r="141" spans="1:18" ht="13.5" customHeight="1">
      <c r="A141" s="246">
        <v>21</v>
      </c>
      <c r="B141" s="22" t="s">
        <v>21</v>
      </c>
      <c r="C141" s="159"/>
      <c r="D141" s="152"/>
      <c r="E141" s="158"/>
      <c r="F141" s="148"/>
      <c r="G141" s="150"/>
      <c r="H141" s="151"/>
      <c r="I141" s="151"/>
      <c r="J141" s="150"/>
      <c r="K141" s="133"/>
      <c r="L141" s="153"/>
      <c r="M141" s="156"/>
      <c r="N141" s="153"/>
      <c r="O141" s="133"/>
      <c r="P141" s="133"/>
      <c r="Q141" s="136"/>
      <c r="R141" s="155">
        <f t="shared" si="6"/>
        <v>0</v>
      </c>
    </row>
    <row r="142" spans="1:18" ht="13.5" customHeight="1">
      <c r="A142" s="246">
        <v>22</v>
      </c>
      <c r="B142" s="22" t="s">
        <v>22</v>
      </c>
      <c r="C142" s="159"/>
      <c r="D142" s="152"/>
      <c r="E142" s="158"/>
      <c r="F142" s="148"/>
      <c r="G142" s="150"/>
      <c r="H142" s="151"/>
      <c r="I142" s="151"/>
      <c r="J142" s="150"/>
      <c r="K142" s="133"/>
      <c r="L142" s="153"/>
      <c r="M142" s="156"/>
      <c r="N142" s="153"/>
      <c r="O142" s="133"/>
      <c r="P142" s="133"/>
      <c r="Q142" s="136"/>
      <c r="R142" s="155">
        <f t="shared" si="6"/>
        <v>0</v>
      </c>
    </row>
    <row r="143" spans="1:18" ht="13.5" customHeight="1">
      <c r="A143" s="246">
        <v>23</v>
      </c>
      <c r="B143" s="22" t="s">
        <v>23</v>
      </c>
      <c r="C143" s="159"/>
      <c r="D143" s="152"/>
      <c r="E143" s="158"/>
      <c r="F143" s="148"/>
      <c r="G143" s="150"/>
      <c r="H143" s="151"/>
      <c r="I143" s="151"/>
      <c r="J143" s="152"/>
      <c r="K143" s="133"/>
      <c r="L143" s="153"/>
      <c r="M143" s="156"/>
      <c r="N143" s="156"/>
      <c r="O143" s="133"/>
      <c r="P143" s="133"/>
      <c r="Q143" s="136"/>
      <c r="R143" s="155">
        <f t="shared" si="6"/>
        <v>0</v>
      </c>
    </row>
    <row r="144" spans="1:18" ht="13.5" customHeight="1">
      <c r="A144" s="246">
        <v>24</v>
      </c>
      <c r="B144" s="22" t="s">
        <v>24</v>
      </c>
      <c r="C144" s="159"/>
      <c r="D144" s="152"/>
      <c r="E144" s="158"/>
      <c r="F144" s="148"/>
      <c r="G144" s="150"/>
      <c r="H144" s="151"/>
      <c r="I144" s="151"/>
      <c r="J144" s="150"/>
      <c r="K144" s="133"/>
      <c r="L144" s="153"/>
      <c r="M144" s="156"/>
      <c r="N144" s="156"/>
      <c r="O144" s="133"/>
      <c r="P144" s="133"/>
      <c r="Q144" s="136"/>
      <c r="R144" s="155">
        <f t="shared" si="6"/>
        <v>0</v>
      </c>
    </row>
    <row r="145" spans="1:18" ht="13.5" customHeight="1">
      <c r="A145" s="246">
        <v>25</v>
      </c>
      <c r="B145" s="22" t="s">
        <v>25</v>
      </c>
      <c r="C145" s="159"/>
      <c r="D145" s="152"/>
      <c r="E145" s="158"/>
      <c r="F145" s="148"/>
      <c r="G145" s="150"/>
      <c r="H145" s="152"/>
      <c r="I145" s="148"/>
      <c r="J145" s="152"/>
      <c r="K145" s="133"/>
      <c r="L145" s="153"/>
      <c r="M145" s="133"/>
      <c r="N145" s="133"/>
      <c r="O145" s="133"/>
      <c r="P145" s="133"/>
      <c r="Q145" s="136"/>
      <c r="R145" s="155">
        <f t="shared" si="6"/>
        <v>0</v>
      </c>
    </row>
    <row r="146" spans="1:18" ht="13.5" customHeight="1">
      <c r="A146" s="246">
        <v>26</v>
      </c>
      <c r="B146" s="22" t="s">
        <v>26</v>
      </c>
      <c r="C146" s="159"/>
      <c r="D146" s="152"/>
      <c r="E146" s="158"/>
      <c r="F146" s="148"/>
      <c r="G146" s="150"/>
      <c r="H146" s="152"/>
      <c r="I146" s="148"/>
      <c r="J146" s="152"/>
      <c r="K146" s="133"/>
      <c r="L146" s="153"/>
      <c r="M146" s="133"/>
      <c r="N146" s="133"/>
      <c r="O146" s="133"/>
      <c r="P146" s="133"/>
      <c r="Q146" s="136"/>
      <c r="R146" s="155">
        <f t="shared" si="6"/>
        <v>0</v>
      </c>
    </row>
    <row r="147" spans="1:18" ht="13.5" customHeight="1">
      <c r="A147" s="246">
        <v>27</v>
      </c>
      <c r="B147" s="22" t="s">
        <v>27</v>
      </c>
      <c r="C147" s="159"/>
      <c r="D147" s="152"/>
      <c r="E147" s="158"/>
      <c r="F147" s="148"/>
      <c r="G147" s="150"/>
      <c r="H147" s="152"/>
      <c r="I147" s="148"/>
      <c r="J147" s="152"/>
      <c r="K147" s="133"/>
      <c r="L147" s="153"/>
      <c r="M147" s="133"/>
      <c r="N147" s="133"/>
      <c r="O147" s="133"/>
      <c r="P147" s="133"/>
      <c r="Q147" s="136"/>
      <c r="R147" s="155">
        <f t="shared" si="6"/>
        <v>0</v>
      </c>
    </row>
    <row r="148" spans="1:18" ht="13.5" customHeight="1">
      <c r="A148" s="246">
        <v>28</v>
      </c>
      <c r="B148" s="22" t="s">
        <v>28</v>
      </c>
      <c r="C148" s="159"/>
      <c r="D148" s="152"/>
      <c r="E148" s="158"/>
      <c r="F148" s="148"/>
      <c r="G148" s="150"/>
      <c r="H148" s="152"/>
      <c r="I148" s="148"/>
      <c r="J148" s="148"/>
      <c r="K148" s="133"/>
      <c r="L148" s="153"/>
      <c r="M148" s="133"/>
      <c r="N148" s="133"/>
      <c r="O148" s="133"/>
      <c r="P148" s="133"/>
      <c r="Q148" s="136"/>
      <c r="R148" s="155">
        <f t="shared" si="6"/>
        <v>0</v>
      </c>
    </row>
    <row r="149" spans="1:18" ht="13.5" customHeight="1">
      <c r="A149" s="246">
        <v>29</v>
      </c>
      <c r="B149" s="22" t="s">
        <v>29</v>
      </c>
      <c r="C149" s="159"/>
      <c r="D149" s="152"/>
      <c r="E149" s="158"/>
      <c r="F149" s="148"/>
      <c r="G149" s="150"/>
      <c r="H149" s="152"/>
      <c r="I149" s="148"/>
      <c r="J149" s="148"/>
      <c r="K149" s="133"/>
      <c r="L149" s="153"/>
      <c r="M149" s="133"/>
      <c r="N149" s="133"/>
      <c r="O149" s="133"/>
      <c r="P149" s="133"/>
      <c r="Q149" s="136"/>
      <c r="R149" s="155">
        <f t="shared" si="6"/>
        <v>0</v>
      </c>
    </row>
    <row r="150" spans="1:18" ht="13.5" customHeight="1">
      <c r="A150" s="246">
        <v>30</v>
      </c>
      <c r="B150" s="22" t="s">
        <v>30</v>
      </c>
      <c r="C150" s="159"/>
      <c r="D150" s="152"/>
      <c r="E150" s="158"/>
      <c r="F150" s="148"/>
      <c r="G150" s="150"/>
      <c r="H150" s="152"/>
      <c r="I150" s="148"/>
      <c r="J150" s="148"/>
      <c r="K150" s="133"/>
      <c r="L150" s="153"/>
      <c r="M150" s="133"/>
      <c r="N150" s="133"/>
      <c r="O150" s="133"/>
      <c r="P150" s="133"/>
      <c r="Q150" s="136"/>
      <c r="R150" s="155">
        <f t="shared" si="6"/>
        <v>0</v>
      </c>
    </row>
    <row r="151" spans="1:18" ht="13.5" customHeight="1">
      <c r="A151" s="246">
        <v>31</v>
      </c>
      <c r="B151" s="22" t="s">
        <v>31</v>
      </c>
      <c r="C151" s="159"/>
      <c r="D151" s="152"/>
      <c r="E151" s="158"/>
      <c r="F151" s="148"/>
      <c r="G151" s="150"/>
      <c r="H151" s="152"/>
      <c r="I151" s="148"/>
      <c r="J151" s="148"/>
      <c r="K151" s="133"/>
      <c r="L151" s="153"/>
      <c r="M151" s="156"/>
      <c r="N151" s="133"/>
      <c r="O151" s="133"/>
      <c r="P151" s="133"/>
      <c r="Q151" s="136"/>
      <c r="R151" s="155">
        <f t="shared" si="6"/>
        <v>0</v>
      </c>
    </row>
    <row r="152" spans="1:18" ht="13.5" customHeight="1">
      <c r="A152" s="246">
        <v>32</v>
      </c>
      <c r="B152" s="22" t="s">
        <v>32</v>
      </c>
      <c r="C152" s="159"/>
      <c r="D152" s="152"/>
      <c r="E152" s="158"/>
      <c r="F152" s="148"/>
      <c r="G152" s="150"/>
      <c r="H152" s="152"/>
      <c r="I152" s="148"/>
      <c r="J152" s="148"/>
      <c r="K152" s="133"/>
      <c r="L152" s="153"/>
      <c r="M152" s="133"/>
      <c r="N152" s="153"/>
      <c r="O152" s="133"/>
      <c r="P152" s="133"/>
      <c r="Q152" s="136"/>
      <c r="R152" s="155">
        <f t="shared" si="6"/>
        <v>0</v>
      </c>
    </row>
    <row r="153" spans="1:18" ht="13.5" customHeight="1">
      <c r="A153" s="246">
        <v>33</v>
      </c>
      <c r="B153" s="23" t="s">
        <v>33</v>
      </c>
      <c r="C153" s="159"/>
      <c r="D153" s="152"/>
      <c r="E153" s="158"/>
      <c r="F153" s="160"/>
      <c r="G153" s="150"/>
      <c r="H153" s="152"/>
      <c r="I153" s="160"/>
      <c r="J153" s="160"/>
      <c r="K153" s="133"/>
      <c r="L153" s="153"/>
      <c r="M153" s="133"/>
      <c r="N153" s="133"/>
      <c r="O153" s="133"/>
      <c r="P153" s="133"/>
      <c r="Q153" s="136"/>
      <c r="R153" s="155">
        <f t="shared" si="6"/>
        <v>0</v>
      </c>
    </row>
    <row r="154" spans="1:18" ht="13.5" customHeight="1">
      <c r="A154" s="246">
        <v>34</v>
      </c>
      <c r="B154" s="23" t="s">
        <v>34</v>
      </c>
      <c r="C154" s="159"/>
      <c r="D154" s="152"/>
      <c r="E154" s="158"/>
      <c r="F154" s="160"/>
      <c r="G154" s="150"/>
      <c r="H154" s="152"/>
      <c r="I154" s="160"/>
      <c r="J154" s="160"/>
      <c r="K154" s="133"/>
      <c r="L154" s="153"/>
      <c r="M154" s="133"/>
      <c r="N154" s="153"/>
      <c r="O154" s="133"/>
      <c r="P154" s="133"/>
      <c r="Q154" s="136"/>
      <c r="R154" s="155">
        <f t="shared" si="6"/>
        <v>0</v>
      </c>
    </row>
    <row r="155" spans="1:18" ht="13.5" customHeight="1">
      <c r="A155" s="246">
        <v>35</v>
      </c>
      <c r="B155" s="23" t="s">
        <v>37</v>
      </c>
      <c r="C155" s="159"/>
      <c r="D155" s="152"/>
      <c r="E155" s="152"/>
      <c r="F155" s="160"/>
      <c r="G155" s="150"/>
      <c r="H155" s="160"/>
      <c r="I155" s="160"/>
      <c r="J155" s="161"/>
      <c r="K155" s="133"/>
      <c r="L155" s="153"/>
      <c r="M155" s="162"/>
      <c r="N155" s="133"/>
      <c r="O155" s="133"/>
      <c r="P155" s="133"/>
      <c r="Q155" s="136"/>
      <c r="R155" s="155">
        <f t="shared" si="6"/>
        <v>0</v>
      </c>
    </row>
    <row r="156" spans="1:18" ht="13.5" customHeight="1" thickBot="1">
      <c r="A156" s="246">
        <v>36</v>
      </c>
      <c r="B156" s="24" t="s">
        <v>38</v>
      </c>
      <c r="C156" s="163"/>
      <c r="D156" s="164"/>
      <c r="E156" s="166"/>
      <c r="F156" s="165"/>
      <c r="G156" s="166"/>
      <c r="H156" s="166"/>
      <c r="I156" s="165"/>
      <c r="J156" s="167"/>
      <c r="K156" s="134"/>
      <c r="L156" s="168"/>
      <c r="M156" s="169"/>
      <c r="N156" s="134"/>
      <c r="O156" s="134"/>
      <c r="P156" s="134"/>
      <c r="Q156" s="138"/>
      <c r="R156" s="155">
        <f t="shared" si="6"/>
        <v>0</v>
      </c>
    </row>
    <row r="157" spans="1:18" ht="13.5" customHeight="1" thickBot="1">
      <c r="A157" s="178"/>
      <c r="B157" s="175" t="s">
        <v>12</v>
      </c>
      <c r="C157" s="239">
        <f>SUM(C140:C156)</f>
        <v>0</v>
      </c>
      <c r="D157" s="239">
        <f>SUM(D140:D156)</f>
        <v>0</v>
      </c>
      <c r="E157" s="240">
        <f>SUM(E121:E155)+E156</f>
        <v>0</v>
      </c>
      <c r="F157" s="241">
        <f aca="true" t="shared" si="7" ref="F157:Q157">SUM(F121:F155)</f>
        <v>0</v>
      </c>
      <c r="G157" s="241">
        <f t="shared" si="7"/>
        <v>0</v>
      </c>
      <c r="H157" s="241">
        <f>SUM(H121:H155)+H156</f>
        <v>0</v>
      </c>
      <c r="I157" s="241">
        <f t="shared" si="7"/>
        <v>0</v>
      </c>
      <c r="J157" s="241">
        <f t="shared" si="7"/>
        <v>0</v>
      </c>
      <c r="K157" s="241">
        <f>SUM(K121:K155)</f>
        <v>0</v>
      </c>
      <c r="L157" s="241">
        <f>SUM(L121:L155)+L156</f>
        <v>0</v>
      </c>
      <c r="M157" s="241">
        <f t="shared" si="7"/>
        <v>0</v>
      </c>
      <c r="N157" s="258">
        <f t="shared" si="7"/>
        <v>0</v>
      </c>
      <c r="O157" s="258">
        <f t="shared" si="7"/>
        <v>0</v>
      </c>
      <c r="P157" s="258">
        <f t="shared" si="7"/>
        <v>0</v>
      </c>
      <c r="Q157" s="259">
        <f t="shared" si="7"/>
        <v>0</v>
      </c>
      <c r="R157" s="234">
        <f>SUM(R121:R155)+R156</f>
        <v>0</v>
      </c>
    </row>
    <row r="158" spans="1:18" ht="13.5" customHeight="1" thickBot="1">
      <c r="A158" s="178"/>
      <c r="B158" s="179"/>
      <c r="C158" s="232">
        <v>2110</v>
      </c>
      <c r="D158" s="232">
        <v>2111</v>
      </c>
      <c r="E158" s="233">
        <v>2210</v>
      </c>
      <c r="F158" s="181">
        <v>2220</v>
      </c>
      <c r="G158" s="181">
        <v>2230</v>
      </c>
      <c r="H158" s="181">
        <v>2240</v>
      </c>
      <c r="I158" s="181">
        <v>2800</v>
      </c>
      <c r="J158" s="181">
        <v>2250</v>
      </c>
      <c r="K158" s="182">
        <v>2272</v>
      </c>
      <c r="L158" s="182">
        <v>2273</v>
      </c>
      <c r="M158" s="181">
        <v>2274</v>
      </c>
      <c r="N158" s="181">
        <v>2275</v>
      </c>
      <c r="O158" s="181">
        <v>3110</v>
      </c>
      <c r="P158" s="182">
        <v>2282</v>
      </c>
      <c r="Q158" s="183">
        <v>2730</v>
      </c>
      <c r="R158" s="234">
        <f>E157+F157+G157+H157+K157+L157+M157+N157+O157+P157+Q157+J157+I157</f>
        <v>0</v>
      </c>
    </row>
    <row r="159" spans="1:18" ht="13.5" customHeight="1" thickBot="1">
      <c r="A159" s="178"/>
      <c r="B159" s="242"/>
      <c r="C159" s="243"/>
      <c r="D159" s="243"/>
      <c r="E159" s="244"/>
      <c r="F159" s="244"/>
      <c r="G159" s="244"/>
      <c r="H159" s="244"/>
      <c r="I159" s="244"/>
      <c r="J159" s="244"/>
      <c r="K159" s="260"/>
      <c r="L159" s="260"/>
      <c r="M159" s="244"/>
      <c r="N159" s="244"/>
      <c r="O159" s="260"/>
      <c r="P159" s="261"/>
      <c r="Q159" s="261"/>
      <c r="R159" s="234">
        <f>E159+F159+G159+H159+I159+J159+K159+L159+M159+N159+O159+P159+Q159</f>
        <v>0</v>
      </c>
    </row>
    <row r="160" spans="2:18" ht="13.5" customHeight="1">
      <c r="B160" s="88"/>
      <c r="C160" s="88"/>
      <c r="D160" s="88"/>
      <c r="E160" s="88"/>
      <c r="F160" s="88"/>
      <c r="G160" s="88"/>
      <c r="H160" s="89"/>
      <c r="I160" s="88"/>
      <c r="J160" s="88"/>
      <c r="K160" s="88"/>
      <c r="L160" s="88"/>
      <c r="M160" s="88"/>
      <c r="N160" s="88"/>
      <c r="O160" s="88"/>
      <c r="P160" s="88"/>
      <c r="Q160" s="88"/>
      <c r="R160" s="88"/>
    </row>
    <row r="161" spans="2:18" ht="13.5" customHeight="1">
      <c r="B161" s="435"/>
      <c r="C161" s="435"/>
      <c r="D161" s="435"/>
      <c r="E161" s="435"/>
      <c r="F161" s="435"/>
      <c r="G161" s="435"/>
      <c r="H161" s="435"/>
      <c r="I161" s="435"/>
      <c r="J161" s="435"/>
      <c r="K161" s="435"/>
      <c r="L161" s="435"/>
      <c r="M161" s="435"/>
      <c r="N161" s="435"/>
      <c r="O161" s="435"/>
      <c r="P161" s="435"/>
      <c r="Q161" s="435"/>
      <c r="R161" s="435"/>
    </row>
    <row r="162" spans="2:18" ht="13.5" customHeight="1">
      <c r="B162" s="64"/>
      <c r="C162" s="64"/>
      <c r="D162" s="64"/>
      <c r="E162" s="64"/>
      <c r="F162" s="64"/>
      <c r="G162" s="64"/>
      <c r="H162" s="87"/>
      <c r="I162" s="64"/>
      <c r="J162" s="64"/>
      <c r="K162" s="64"/>
      <c r="L162" s="64"/>
      <c r="M162" s="64"/>
      <c r="N162" s="64"/>
      <c r="O162" s="64"/>
      <c r="P162" s="64"/>
      <c r="Q162" s="64"/>
      <c r="R162" s="64"/>
    </row>
    <row r="163" spans="2:18" ht="13.5" customHeight="1" thickBot="1">
      <c r="B163" s="435" t="s">
        <v>45</v>
      </c>
      <c r="C163" s="435"/>
      <c r="D163" s="435"/>
      <c r="E163" s="435"/>
      <c r="F163" s="435"/>
      <c r="G163" s="435"/>
      <c r="H163" s="435"/>
      <c r="I163" s="435"/>
      <c r="J163" s="435"/>
      <c r="K163" s="435"/>
      <c r="L163" s="435"/>
      <c r="M163" s="435"/>
      <c r="N163" s="435"/>
      <c r="O163" s="435"/>
      <c r="P163" s="435"/>
      <c r="Q163" s="435"/>
      <c r="R163" s="435"/>
    </row>
    <row r="164" spans="2:18" ht="13.5" customHeight="1" thickBot="1">
      <c r="B164" s="25" t="s">
        <v>36</v>
      </c>
      <c r="C164" s="211">
        <v>2110</v>
      </c>
      <c r="D164" s="211">
        <v>2111</v>
      </c>
      <c r="E164" s="207">
        <v>2210</v>
      </c>
      <c r="F164" s="120">
        <v>2220</v>
      </c>
      <c r="G164" s="120">
        <v>2230</v>
      </c>
      <c r="H164" s="120">
        <v>2240</v>
      </c>
      <c r="I164" s="120">
        <v>2800</v>
      </c>
      <c r="J164" s="120">
        <v>2250</v>
      </c>
      <c r="K164" s="15">
        <v>2272</v>
      </c>
      <c r="L164" s="15">
        <v>2273</v>
      </c>
      <c r="M164" s="121">
        <v>2274</v>
      </c>
      <c r="N164" s="121">
        <v>2275</v>
      </c>
      <c r="O164" s="121">
        <v>3110</v>
      </c>
      <c r="P164" s="15">
        <v>2282</v>
      </c>
      <c r="Q164" s="210">
        <v>2730</v>
      </c>
      <c r="R164" s="226" t="s">
        <v>35</v>
      </c>
    </row>
    <row r="165" spans="1:18" ht="13.5" customHeight="1">
      <c r="A165" s="246">
        <v>1</v>
      </c>
      <c r="B165" s="21" t="s">
        <v>0</v>
      </c>
      <c r="C165" s="43"/>
      <c r="D165" s="44"/>
      <c r="E165" s="105"/>
      <c r="F165" s="44"/>
      <c r="G165" s="92"/>
      <c r="H165" s="93"/>
      <c r="I165" s="92"/>
      <c r="J165" s="92"/>
      <c r="K165" s="46"/>
      <c r="L165" s="28"/>
      <c r="M165" s="46"/>
      <c r="N165" s="48"/>
      <c r="O165" s="49"/>
      <c r="P165" s="49"/>
      <c r="Q165" s="50"/>
      <c r="R165" s="31">
        <f>SUM(E165:P165)</f>
        <v>0</v>
      </c>
    </row>
    <row r="166" spans="1:18" ht="13.5" customHeight="1">
      <c r="A166" s="246">
        <v>2</v>
      </c>
      <c r="B166" s="22" t="s">
        <v>1</v>
      </c>
      <c r="C166" s="17"/>
      <c r="D166" s="3"/>
      <c r="E166" s="106"/>
      <c r="F166" s="3"/>
      <c r="G166" s="95"/>
      <c r="H166" s="96"/>
      <c r="I166" s="97"/>
      <c r="J166" s="96"/>
      <c r="K166" s="4"/>
      <c r="L166" s="29"/>
      <c r="M166" s="34"/>
      <c r="N166" s="6"/>
      <c r="O166" s="1"/>
      <c r="P166" s="1"/>
      <c r="Q166" s="26"/>
      <c r="R166" s="37">
        <f>SUM(E166:P166)</f>
        <v>0</v>
      </c>
    </row>
    <row r="167" spans="1:18" ht="13.5" customHeight="1">
      <c r="A167" s="246">
        <v>3</v>
      </c>
      <c r="B167" s="22" t="s">
        <v>2</v>
      </c>
      <c r="C167" s="17"/>
      <c r="D167" s="3"/>
      <c r="E167" s="106"/>
      <c r="F167" s="3"/>
      <c r="G167" s="95"/>
      <c r="H167" s="96"/>
      <c r="I167" s="97"/>
      <c r="J167" s="95"/>
      <c r="K167" s="4"/>
      <c r="L167" s="29"/>
      <c r="M167" s="34"/>
      <c r="N167" s="6"/>
      <c r="O167" s="1"/>
      <c r="P167" s="1"/>
      <c r="Q167" s="90"/>
      <c r="R167" s="37">
        <f>SUM(E167:P167)+Q167</f>
        <v>0</v>
      </c>
    </row>
    <row r="168" spans="1:18" ht="13.5" customHeight="1">
      <c r="A168" s="246">
        <v>4</v>
      </c>
      <c r="B168" s="22" t="s">
        <v>3</v>
      </c>
      <c r="C168" s="17"/>
      <c r="D168" s="3"/>
      <c r="E168" s="106"/>
      <c r="F168" s="3"/>
      <c r="G168" s="95"/>
      <c r="H168" s="96"/>
      <c r="I168" s="97"/>
      <c r="J168" s="96"/>
      <c r="K168" s="4"/>
      <c r="L168" s="29"/>
      <c r="M168" s="34"/>
      <c r="N168" s="6"/>
      <c r="O168" s="1"/>
      <c r="P168" s="113"/>
      <c r="Q168" s="90"/>
      <c r="R168" s="37">
        <f>SUM(E168:P168)</f>
        <v>0</v>
      </c>
    </row>
    <row r="169" spans="1:18" ht="13.5" customHeight="1">
      <c r="A169" s="246">
        <v>5</v>
      </c>
      <c r="B169" s="22" t="s">
        <v>4</v>
      </c>
      <c r="C169" s="17"/>
      <c r="D169" s="3"/>
      <c r="E169" s="106"/>
      <c r="F169" s="3"/>
      <c r="G169" s="95"/>
      <c r="H169" s="96"/>
      <c r="I169" s="97"/>
      <c r="J169" s="95"/>
      <c r="K169" s="4"/>
      <c r="L169" s="29"/>
      <c r="M169" s="34"/>
      <c r="N169" s="6"/>
      <c r="O169" s="1"/>
      <c r="P169" s="113"/>
      <c r="Q169" s="90"/>
      <c r="R169" s="37">
        <f>SUM(E169:P169)</f>
        <v>0</v>
      </c>
    </row>
    <row r="170" spans="1:18" ht="13.5" customHeight="1">
      <c r="A170" s="246">
        <v>6</v>
      </c>
      <c r="B170" s="22" t="s">
        <v>5</v>
      </c>
      <c r="C170" s="17"/>
      <c r="D170" s="3"/>
      <c r="E170" s="106"/>
      <c r="F170" s="3"/>
      <c r="G170" s="95"/>
      <c r="H170" s="95"/>
      <c r="I170" s="95"/>
      <c r="J170" s="95"/>
      <c r="K170" s="29"/>
      <c r="L170" s="29"/>
      <c r="M170" s="34"/>
      <c r="N170" s="6"/>
      <c r="O170" s="1"/>
      <c r="P170" s="113"/>
      <c r="Q170" s="90"/>
      <c r="R170" s="37">
        <f>SUM(E170:P170)+Q170</f>
        <v>0</v>
      </c>
    </row>
    <row r="171" spans="1:18" ht="13.5" customHeight="1">
      <c r="A171" s="246">
        <v>7</v>
      </c>
      <c r="B171" s="22" t="s">
        <v>6</v>
      </c>
      <c r="C171" s="17"/>
      <c r="D171" s="3"/>
      <c r="E171" s="106"/>
      <c r="F171" s="3"/>
      <c r="G171" s="95"/>
      <c r="H171" s="96"/>
      <c r="I171" s="97"/>
      <c r="J171" s="95"/>
      <c r="K171" s="29"/>
      <c r="L171" s="29"/>
      <c r="M171" s="35"/>
      <c r="N171" s="6"/>
      <c r="O171" s="1"/>
      <c r="P171" s="113"/>
      <c r="Q171" s="90"/>
      <c r="R171" s="37">
        <f>SUM(E171:P171)</f>
        <v>0</v>
      </c>
    </row>
    <row r="172" spans="1:18" ht="13.5" customHeight="1">
      <c r="A172" s="246">
        <v>8</v>
      </c>
      <c r="B172" s="22" t="s">
        <v>7</v>
      </c>
      <c r="C172" s="17"/>
      <c r="D172" s="3"/>
      <c r="E172" s="106"/>
      <c r="F172" s="5"/>
      <c r="G172" s="95"/>
      <c r="H172" s="96"/>
      <c r="I172" s="97"/>
      <c r="J172" s="95"/>
      <c r="K172" s="36"/>
      <c r="L172" s="29"/>
      <c r="M172" s="35"/>
      <c r="N172" s="4"/>
      <c r="O172" s="1"/>
      <c r="P172" s="113"/>
      <c r="Q172" s="90"/>
      <c r="R172" s="37">
        <f>SUM(E172:P172)+Q172</f>
        <v>0</v>
      </c>
    </row>
    <row r="173" spans="1:18" ht="13.5" customHeight="1">
      <c r="A173" s="246">
        <v>9</v>
      </c>
      <c r="B173" s="22" t="s">
        <v>8</v>
      </c>
      <c r="C173" s="17"/>
      <c r="D173" s="3"/>
      <c r="E173" s="106"/>
      <c r="F173" s="3"/>
      <c r="G173" s="95"/>
      <c r="H173" s="96"/>
      <c r="I173" s="97"/>
      <c r="J173" s="95"/>
      <c r="K173" s="36"/>
      <c r="L173" s="29"/>
      <c r="M173" s="35"/>
      <c r="N173" s="6"/>
      <c r="O173" s="1"/>
      <c r="P173" s="113"/>
      <c r="Q173" s="90"/>
      <c r="R173" s="37">
        <f>SUM(E173:P173)</f>
        <v>0</v>
      </c>
    </row>
    <row r="174" spans="1:18" ht="13.5" customHeight="1">
      <c r="A174" s="246">
        <v>10</v>
      </c>
      <c r="B174" s="22" t="s">
        <v>9</v>
      </c>
      <c r="C174" s="17"/>
      <c r="D174" s="3"/>
      <c r="E174" s="106"/>
      <c r="F174" s="3"/>
      <c r="G174" s="95"/>
      <c r="H174" s="96"/>
      <c r="I174" s="97"/>
      <c r="J174" s="95"/>
      <c r="K174" s="36"/>
      <c r="L174" s="29"/>
      <c r="M174" s="35"/>
      <c r="N174" s="6"/>
      <c r="O174" s="1"/>
      <c r="P174" s="113"/>
      <c r="Q174" s="90"/>
      <c r="R174" s="37">
        <f>SUM(E174:P174)</f>
        <v>0</v>
      </c>
    </row>
    <row r="175" spans="1:18" ht="13.5" customHeight="1">
      <c r="A175" s="246">
        <v>11</v>
      </c>
      <c r="B175" s="22" t="s">
        <v>10</v>
      </c>
      <c r="C175" s="17"/>
      <c r="D175" s="3"/>
      <c r="E175" s="106"/>
      <c r="F175" s="3"/>
      <c r="G175" s="95"/>
      <c r="H175" s="96"/>
      <c r="I175" s="97"/>
      <c r="J175" s="95"/>
      <c r="K175" s="29"/>
      <c r="L175" s="29"/>
      <c r="M175" s="35"/>
      <c r="N175" s="4"/>
      <c r="O175" s="1"/>
      <c r="P175" s="113"/>
      <c r="Q175" s="90"/>
      <c r="R175" s="37">
        <f>SUM(E175:P175)</f>
        <v>0</v>
      </c>
    </row>
    <row r="176" spans="1:18" ht="13.5" customHeight="1">
      <c r="A176" s="246">
        <v>12</v>
      </c>
      <c r="B176" s="22" t="s">
        <v>11</v>
      </c>
      <c r="C176" s="17"/>
      <c r="D176" s="3"/>
      <c r="E176" s="106"/>
      <c r="F176" s="3"/>
      <c r="G176" s="95"/>
      <c r="H176" s="96"/>
      <c r="I176" s="97"/>
      <c r="J176" s="95"/>
      <c r="K176" s="36"/>
      <c r="L176" s="29"/>
      <c r="M176" s="34"/>
      <c r="N176" s="4"/>
      <c r="O176" s="1"/>
      <c r="P176" s="113"/>
      <c r="Q176" s="90"/>
      <c r="R176" s="37">
        <f>SUM(E176:P176)+Q176</f>
        <v>0</v>
      </c>
    </row>
    <row r="177" spans="1:18" ht="13.5" customHeight="1">
      <c r="A177" s="246">
        <v>13</v>
      </c>
      <c r="B177" s="22" t="s">
        <v>13</v>
      </c>
      <c r="C177" s="17"/>
      <c r="D177" s="3"/>
      <c r="E177" s="106"/>
      <c r="F177" s="3"/>
      <c r="G177" s="95"/>
      <c r="H177" s="96"/>
      <c r="I177" s="97"/>
      <c r="J177" s="95"/>
      <c r="K177" s="36"/>
      <c r="L177" s="29"/>
      <c r="M177" s="35"/>
      <c r="N177" s="4"/>
      <c r="O177" s="1"/>
      <c r="P177" s="113"/>
      <c r="Q177" s="90"/>
      <c r="R177" s="37">
        <f aca="true" t="shared" si="8" ref="R177:R198">SUM(E177:P177)</f>
        <v>0</v>
      </c>
    </row>
    <row r="178" spans="1:18" ht="13.5" customHeight="1">
      <c r="A178" s="246">
        <v>14</v>
      </c>
      <c r="B178" s="22" t="s">
        <v>14</v>
      </c>
      <c r="C178" s="17"/>
      <c r="D178" s="3"/>
      <c r="E178" s="106"/>
      <c r="F178" s="3"/>
      <c r="G178" s="95"/>
      <c r="H178" s="96"/>
      <c r="I178" s="97"/>
      <c r="J178" s="95"/>
      <c r="K178" s="36"/>
      <c r="L178" s="29"/>
      <c r="M178" s="35"/>
      <c r="N178" s="4"/>
      <c r="O178" s="1"/>
      <c r="P178" s="113"/>
      <c r="Q178" s="90"/>
      <c r="R178" s="37">
        <f t="shared" si="8"/>
        <v>0</v>
      </c>
    </row>
    <row r="179" spans="1:18" ht="13.5" customHeight="1">
      <c r="A179" s="246">
        <v>15</v>
      </c>
      <c r="B179" s="22" t="s">
        <v>15</v>
      </c>
      <c r="C179" s="17"/>
      <c r="D179" s="3"/>
      <c r="E179" s="106"/>
      <c r="F179" s="3"/>
      <c r="G179" s="95"/>
      <c r="H179" s="96"/>
      <c r="I179" s="97"/>
      <c r="J179" s="95"/>
      <c r="K179" s="36"/>
      <c r="L179" s="29"/>
      <c r="M179" s="35"/>
      <c r="N179" s="4"/>
      <c r="O179" s="1"/>
      <c r="P179" s="113"/>
      <c r="Q179" s="90"/>
      <c r="R179" s="37">
        <f t="shared" si="8"/>
        <v>0</v>
      </c>
    </row>
    <row r="180" spans="1:18" ht="13.5" customHeight="1">
      <c r="A180" s="246">
        <v>16</v>
      </c>
      <c r="B180" s="22" t="s">
        <v>16</v>
      </c>
      <c r="C180" s="17"/>
      <c r="D180" s="3"/>
      <c r="E180" s="106"/>
      <c r="F180" s="3"/>
      <c r="G180" s="95"/>
      <c r="H180" s="96"/>
      <c r="I180" s="97"/>
      <c r="J180" s="95"/>
      <c r="K180" s="36"/>
      <c r="L180" s="29"/>
      <c r="M180" s="35"/>
      <c r="N180" s="6"/>
      <c r="O180" s="1"/>
      <c r="P180" s="113"/>
      <c r="Q180" s="90"/>
      <c r="R180" s="37">
        <f t="shared" si="8"/>
        <v>0</v>
      </c>
    </row>
    <row r="181" spans="1:18" ht="13.5" customHeight="1">
      <c r="A181" s="246">
        <v>17</v>
      </c>
      <c r="B181" s="22" t="s">
        <v>17</v>
      </c>
      <c r="C181" s="17"/>
      <c r="D181" s="3"/>
      <c r="E181" s="106"/>
      <c r="F181" s="3"/>
      <c r="G181" s="95"/>
      <c r="H181" s="96"/>
      <c r="I181" s="97"/>
      <c r="J181" s="95"/>
      <c r="K181" s="36"/>
      <c r="L181" s="29"/>
      <c r="M181" s="35"/>
      <c r="N181" s="29"/>
      <c r="O181" s="1"/>
      <c r="P181" s="113"/>
      <c r="Q181" s="26"/>
      <c r="R181" s="37">
        <f t="shared" si="8"/>
        <v>0</v>
      </c>
    </row>
    <row r="182" spans="1:18" ht="13.5" customHeight="1">
      <c r="A182" s="246">
        <v>18</v>
      </c>
      <c r="B182" s="22" t="s">
        <v>18</v>
      </c>
      <c r="C182" s="17"/>
      <c r="D182" s="3"/>
      <c r="E182" s="106"/>
      <c r="F182" s="3"/>
      <c r="G182" s="95"/>
      <c r="H182" s="96"/>
      <c r="I182" s="97"/>
      <c r="J182" s="95"/>
      <c r="K182" s="36"/>
      <c r="L182" s="29"/>
      <c r="M182" s="34"/>
      <c r="N182" s="29"/>
      <c r="O182" s="1"/>
      <c r="P182" s="113"/>
      <c r="Q182" s="26"/>
      <c r="R182" s="37">
        <f t="shared" si="8"/>
        <v>0</v>
      </c>
    </row>
    <row r="183" spans="1:18" ht="13.5" customHeight="1">
      <c r="A183" s="246">
        <v>19</v>
      </c>
      <c r="B183" s="22" t="s">
        <v>19</v>
      </c>
      <c r="C183" s="17"/>
      <c r="D183" s="3"/>
      <c r="E183" s="106"/>
      <c r="F183" s="3"/>
      <c r="G183" s="95"/>
      <c r="H183" s="96"/>
      <c r="I183" s="97"/>
      <c r="J183" s="95"/>
      <c r="K183" s="36"/>
      <c r="L183" s="29"/>
      <c r="M183" s="35"/>
      <c r="N183" s="29"/>
      <c r="O183" s="1"/>
      <c r="P183" s="113"/>
      <c r="Q183" s="26"/>
      <c r="R183" s="37">
        <f t="shared" si="8"/>
        <v>0</v>
      </c>
    </row>
    <row r="184" spans="1:18" ht="13.5" customHeight="1">
      <c r="A184" s="246">
        <v>20</v>
      </c>
      <c r="B184" s="22" t="s">
        <v>20</v>
      </c>
      <c r="C184" s="58"/>
      <c r="D184" s="11"/>
      <c r="E184" s="106"/>
      <c r="F184" s="3"/>
      <c r="G184" s="95"/>
      <c r="H184" s="96"/>
      <c r="I184" s="97"/>
      <c r="J184" s="96"/>
      <c r="K184" s="36"/>
      <c r="L184" s="29"/>
      <c r="M184" s="35"/>
      <c r="N184" s="29"/>
      <c r="O184" s="1"/>
      <c r="P184" s="1"/>
      <c r="Q184" s="26"/>
      <c r="R184" s="37">
        <f t="shared" si="8"/>
        <v>0</v>
      </c>
    </row>
    <row r="185" spans="1:18" ht="13.5" customHeight="1">
      <c r="A185" s="246">
        <v>21</v>
      </c>
      <c r="B185" s="22" t="s">
        <v>21</v>
      </c>
      <c r="C185" s="58"/>
      <c r="D185" s="10"/>
      <c r="E185" s="106"/>
      <c r="F185" s="3"/>
      <c r="G185" s="95"/>
      <c r="H185" s="96"/>
      <c r="I185" s="97"/>
      <c r="J185" s="95"/>
      <c r="K185" s="29"/>
      <c r="L185" s="29"/>
      <c r="M185" s="35"/>
      <c r="N185" s="4"/>
      <c r="O185" s="1"/>
      <c r="P185" s="1"/>
      <c r="Q185" s="26"/>
      <c r="R185" s="37">
        <f t="shared" si="8"/>
        <v>0</v>
      </c>
    </row>
    <row r="186" spans="1:18" ht="13.5" customHeight="1">
      <c r="A186" s="246">
        <v>22</v>
      </c>
      <c r="B186" s="22" t="s">
        <v>22</v>
      </c>
      <c r="C186" s="58"/>
      <c r="D186" s="10"/>
      <c r="E186" s="106"/>
      <c r="F186" s="3"/>
      <c r="G186" s="95"/>
      <c r="H186" s="96"/>
      <c r="I186" s="97"/>
      <c r="J186" s="95"/>
      <c r="K186" s="4"/>
      <c r="L186" s="29"/>
      <c r="M186" s="35"/>
      <c r="N186" s="4"/>
      <c r="O186" s="1"/>
      <c r="P186" s="1"/>
      <c r="Q186" s="26"/>
      <c r="R186" s="37">
        <f t="shared" si="8"/>
        <v>0</v>
      </c>
    </row>
    <row r="187" spans="1:18" ht="13.5" customHeight="1">
      <c r="A187" s="246">
        <v>23</v>
      </c>
      <c r="B187" s="22" t="s">
        <v>23</v>
      </c>
      <c r="C187" s="58"/>
      <c r="D187" s="10"/>
      <c r="E187" s="106"/>
      <c r="F187" s="3"/>
      <c r="G187" s="95"/>
      <c r="H187" s="96"/>
      <c r="I187" s="97"/>
      <c r="J187" s="98"/>
      <c r="K187" s="4"/>
      <c r="L187" s="29"/>
      <c r="M187" s="35"/>
      <c r="N187" s="4"/>
      <c r="O187" s="1"/>
      <c r="P187" s="1"/>
      <c r="Q187" s="26"/>
      <c r="R187" s="37">
        <f t="shared" si="8"/>
        <v>0</v>
      </c>
    </row>
    <row r="188" spans="1:18" ht="13.5" customHeight="1">
      <c r="A188" s="246">
        <v>24</v>
      </c>
      <c r="B188" s="22" t="s">
        <v>24</v>
      </c>
      <c r="C188" s="58"/>
      <c r="D188" s="10"/>
      <c r="E188" s="106"/>
      <c r="F188" s="3"/>
      <c r="G188" s="95"/>
      <c r="H188" s="96"/>
      <c r="I188" s="97"/>
      <c r="J188" s="99"/>
      <c r="K188" s="4"/>
      <c r="L188" s="29"/>
      <c r="M188" s="36"/>
      <c r="N188" s="4"/>
      <c r="O188" s="1"/>
      <c r="P188" s="1"/>
      <c r="Q188" s="26"/>
      <c r="R188" s="37">
        <f t="shared" si="8"/>
        <v>0</v>
      </c>
    </row>
    <row r="189" spans="1:18" ht="13.5" customHeight="1">
      <c r="A189" s="246">
        <v>25</v>
      </c>
      <c r="B189" s="22" t="s">
        <v>25</v>
      </c>
      <c r="C189" s="58"/>
      <c r="D189" s="10"/>
      <c r="E189" s="107"/>
      <c r="F189" s="3"/>
      <c r="G189" s="95"/>
      <c r="H189" s="96"/>
      <c r="I189" s="98"/>
      <c r="J189" s="98"/>
      <c r="K189" s="4"/>
      <c r="L189" s="29"/>
      <c r="M189" s="4"/>
      <c r="N189" s="4"/>
      <c r="O189" s="1"/>
      <c r="P189" s="1"/>
      <c r="Q189" s="26"/>
      <c r="R189" s="37">
        <f t="shared" si="8"/>
        <v>0</v>
      </c>
    </row>
    <row r="190" spans="1:18" ht="13.5" customHeight="1">
      <c r="A190" s="246">
        <v>26</v>
      </c>
      <c r="B190" s="22" t="s">
        <v>26</v>
      </c>
      <c r="C190" s="58"/>
      <c r="D190" s="10"/>
      <c r="E190" s="107"/>
      <c r="F190" s="3"/>
      <c r="G190" s="95"/>
      <c r="H190" s="96"/>
      <c r="I190" s="98"/>
      <c r="J190" s="98"/>
      <c r="K190" s="4"/>
      <c r="L190" s="29"/>
      <c r="M190" s="4"/>
      <c r="N190" s="4"/>
      <c r="O190" s="1"/>
      <c r="P190" s="1"/>
      <c r="Q190" s="26"/>
      <c r="R190" s="37">
        <f t="shared" si="8"/>
        <v>0</v>
      </c>
    </row>
    <row r="191" spans="1:18" ht="13.5" customHeight="1">
      <c r="A191" s="246">
        <v>27</v>
      </c>
      <c r="B191" s="22" t="s">
        <v>27</v>
      </c>
      <c r="C191" s="58"/>
      <c r="D191" s="10"/>
      <c r="E191" s="107"/>
      <c r="F191" s="3"/>
      <c r="G191" s="95"/>
      <c r="H191" s="96"/>
      <c r="I191" s="98"/>
      <c r="J191" s="98"/>
      <c r="K191" s="4"/>
      <c r="L191" s="29"/>
      <c r="M191" s="4"/>
      <c r="N191" s="4"/>
      <c r="O191" s="1"/>
      <c r="P191" s="1"/>
      <c r="Q191" s="26"/>
      <c r="R191" s="37">
        <f t="shared" si="8"/>
        <v>0</v>
      </c>
    </row>
    <row r="192" spans="1:18" ht="13.5" customHeight="1">
      <c r="A192" s="246">
        <v>28</v>
      </c>
      <c r="B192" s="22" t="s">
        <v>28</v>
      </c>
      <c r="C192" s="58"/>
      <c r="D192" s="10"/>
      <c r="E192" s="107"/>
      <c r="F192" s="3"/>
      <c r="G192" s="95"/>
      <c r="H192" s="96"/>
      <c r="I192" s="98"/>
      <c r="J192" s="98"/>
      <c r="K192" s="4"/>
      <c r="L192" s="29"/>
      <c r="M192" s="4"/>
      <c r="N192" s="4"/>
      <c r="O192" s="1"/>
      <c r="P192" s="1"/>
      <c r="Q192" s="26"/>
      <c r="R192" s="37">
        <f t="shared" si="8"/>
        <v>0</v>
      </c>
    </row>
    <row r="193" spans="1:18" ht="13.5" customHeight="1">
      <c r="A193" s="246">
        <v>29</v>
      </c>
      <c r="B193" s="22" t="s">
        <v>29</v>
      </c>
      <c r="C193" s="58"/>
      <c r="D193" s="10"/>
      <c r="E193" s="107"/>
      <c r="F193" s="3"/>
      <c r="G193" s="95"/>
      <c r="H193" s="96"/>
      <c r="I193" s="98"/>
      <c r="J193" s="98"/>
      <c r="K193" s="4"/>
      <c r="L193" s="29"/>
      <c r="M193" s="4"/>
      <c r="N193" s="4"/>
      <c r="O193" s="1"/>
      <c r="P193" s="1"/>
      <c r="Q193" s="26"/>
      <c r="R193" s="37">
        <f t="shared" si="8"/>
        <v>0</v>
      </c>
    </row>
    <row r="194" spans="1:18" ht="13.5" customHeight="1">
      <c r="A194" s="246">
        <v>30</v>
      </c>
      <c r="B194" s="22" t="s">
        <v>30</v>
      </c>
      <c r="C194" s="58"/>
      <c r="D194" s="10"/>
      <c r="E194" s="107"/>
      <c r="F194" s="3"/>
      <c r="G194" s="95"/>
      <c r="H194" s="96"/>
      <c r="I194" s="98"/>
      <c r="J194" s="98"/>
      <c r="K194" s="4"/>
      <c r="L194" s="29"/>
      <c r="M194" s="4"/>
      <c r="N194" s="4"/>
      <c r="O194" s="1"/>
      <c r="P194" s="1"/>
      <c r="Q194" s="26"/>
      <c r="R194" s="37">
        <f t="shared" si="8"/>
        <v>0</v>
      </c>
    </row>
    <row r="195" spans="1:18" ht="13.5" customHeight="1">
      <c r="A195" s="246">
        <v>31</v>
      </c>
      <c r="B195" s="22" t="s">
        <v>31</v>
      </c>
      <c r="C195" s="58"/>
      <c r="D195" s="10"/>
      <c r="E195" s="107"/>
      <c r="F195" s="3"/>
      <c r="G195" s="95"/>
      <c r="H195" s="96"/>
      <c r="I195" s="98"/>
      <c r="J195" s="98"/>
      <c r="K195" s="4"/>
      <c r="L195" s="29"/>
      <c r="M195" s="36"/>
      <c r="N195" s="4"/>
      <c r="O195" s="1"/>
      <c r="P195" s="1"/>
      <c r="Q195" s="26"/>
      <c r="R195" s="37">
        <f t="shared" si="8"/>
        <v>0</v>
      </c>
    </row>
    <row r="196" spans="1:18" ht="13.5" customHeight="1">
      <c r="A196" s="246">
        <v>32</v>
      </c>
      <c r="B196" s="22" t="s">
        <v>32</v>
      </c>
      <c r="C196" s="58"/>
      <c r="D196" s="10"/>
      <c r="E196" s="107"/>
      <c r="F196" s="3"/>
      <c r="G196" s="95"/>
      <c r="H196" s="96"/>
      <c r="I196" s="98"/>
      <c r="J196" s="98"/>
      <c r="K196" s="4"/>
      <c r="L196" s="29"/>
      <c r="M196" s="4"/>
      <c r="N196" s="4"/>
      <c r="O196" s="1"/>
      <c r="P196" s="1"/>
      <c r="Q196" s="26"/>
      <c r="R196" s="37">
        <f t="shared" si="8"/>
        <v>0</v>
      </c>
    </row>
    <row r="197" spans="1:18" ht="13.5" customHeight="1">
      <c r="A197" s="246">
        <v>33</v>
      </c>
      <c r="B197" s="23" t="s">
        <v>33</v>
      </c>
      <c r="C197" s="58"/>
      <c r="D197" s="10"/>
      <c r="E197" s="107"/>
      <c r="F197" s="7"/>
      <c r="G197" s="95"/>
      <c r="H197" s="96"/>
      <c r="I197" s="100"/>
      <c r="J197" s="100"/>
      <c r="K197" s="4"/>
      <c r="L197" s="29"/>
      <c r="M197" s="4"/>
      <c r="N197" s="4"/>
      <c r="O197" s="1"/>
      <c r="P197" s="1"/>
      <c r="Q197" s="26"/>
      <c r="R197" s="37">
        <f t="shared" si="8"/>
        <v>0</v>
      </c>
    </row>
    <row r="198" spans="1:18" ht="13.5" customHeight="1">
      <c r="A198" s="246">
        <v>34</v>
      </c>
      <c r="B198" s="23" t="s">
        <v>34</v>
      </c>
      <c r="C198" s="58"/>
      <c r="D198" s="10"/>
      <c r="E198" s="107"/>
      <c r="F198" s="7"/>
      <c r="G198" s="95"/>
      <c r="H198" s="96"/>
      <c r="I198" s="100"/>
      <c r="J198" s="100"/>
      <c r="K198" s="4"/>
      <c r="L198" s="29"/>
      <c r="M198" s="4"/>
      <c r="N198" s="4"/>
      <c r="O198" s="1"/>
      <c r="P198" s="1"/>
      <c r="Q198" s="26"/>
      <c r="R198" s="37">
        <f t="shared" si="8"/>
        <v>0</v>
      </c>
    </row>
    <row r="199" spans="1:18" ht="13.5" customHeight="1">
      <c r="A199" s="246">
        <v>35</v>
      </c>
      <c r="B199" s="22" t="s">
        <v>46</v>
      </c>
      <c r="C199" s="58"/>
      <c r="D199" s="10"/>
      <c r="E199" s="96"/>
      <c r="F199" s="7"/>
      <c r="G199" s="95"/>
      <c r="H199" s="95"/>
      <c r="I199" s="100"/>
      <c r="J199" s="101"/>
      <c r="K199" s="4"/>
      <c r="L199" s="29"/>
      <c r="M199" s="41"/>
      <c r="N199" s="4"/>
      <c r="O199" s="1"/>
      <c r="P199" s="1"/>
      <c r="Q199" s="90"/>
      <c r="R199" s="37">
        <f>SUM(E199:P199)+Q199</f>
        <v>0</v>
      </c>
    </row>
    <row r="200" spans="1:18" ht="13.5" customHeight="1" thickBot="1">
      <c r="A200" s="246">
        <v>36</v>
      </c>
      <c r="B200" s="24" t="s">
        <v>38</v>
      </c>
      <c r="C200" s="78"/>
      <c r="D200" s="52"/>
      <c r="E200" s="102"/>
      <c r="F200" s="51"/>
      <c r="G200" s="102"/>
      <c r="H200" s="102"/>
      <c r="I200" s="103"/>
      <c r="J200" s="102"/>
      <c r="K200" s="54"/>
      <c r="L200" s="55"/>
      <c r="M200" s="56"/>
      <c r="N200" s="54"/>
      <c r="O200" s="57"/>
      <c r="P200" s="248"/>
      <c r="Q200" s="247"/>
      <c r="R200" s="37">
        <f>SUM(E200:P200)+Q200</f>
        <v>0</v>
      </c>
    </row>
    <row r="201" spans="2:18" ht="13.5" customHeight="1" thickBot="1">
      <c r="B201" s="32" t="s">
        <v>12</v>
      </c>
      <c r="C201" s="115">
        <f>SUM(C184:C200)</f>
        <v>0</v>
      </c>
      <c r="D201" s="115">
        <f>SUM(D184:D200)</f>
        <v>0</v>
      </c>
      <c r="E201" s="126">
        <f>SUM(E165:E199)+E200</f>
        <v>0</v>
      </c>
      <c r="F201" s="116">
        <f>SUM(F165:F199)</f>
        <v>0</v>
      </c>
      <c r="G201" s="116">
        <f>SUM(G165:G199)+G200</f>
        <v>0</v>
      </c>
      <c r="H201" s="116">
        <f>SUM(H165:H199)</f>
        <v>0</v>
      </c>
      <c r="I201" s="116">
        <f>SUM(I165:I199)</f>
        <v>0</v>
      </c>
      <c r="J201" s="116">
        <f>SUM(J165:J199)+J200</f>
        <v>0</v>
      </c>
      <c r="K201" s="116">
        <f aca="true" t="shared" si="9" ref="K201:P201">SUM(K165:K199)</f>
        <v>0</v>
      </c>
      <c r="L201" s="116">
        <f t="shared" si="9"/>
        <v>0</v>
      </c>
      <c r="M201" s="116">
        <f t="shared" si="9"/>
        <v>0</v>
      </c>
      <c r="N201" s="127">
        <f t="shared" si="9"/>
        <v>0</v>
      </c>
      <c r="O201" s="127">
        <f t="shared" si="9"/>
        <v>0</v>
      </c>
      <c r="P201" s="127">
        <f t="shared" si="9"/>
        <v>0</v>
      </c>
      <c r="Q201" s="128">
        <f>SUM(Q165:Q199)+Q200</f>
        <v>0</v>
      </c>
      <c r="R201" s="27">
        <f>SUM(R165:R199)+R200</f>
        <v>0</v>
      </c>
    </row>
    <row r="202" spans="2:18" ht="13.5" customHeight="1" thickBot="1">
      <c r="B202" s="80"/>
      <c r="C202" s="122">
        <v>2110</v>
      </c>
      <c r="D202" s="122">
        <v>2111</v>
      </c>
      <c r="E202" s="117">
        <v>2210</v>
      </c>
      <c r="F202" s="123">
        <v>2220</v>
      </c>
      <c r="G202" s="123">
        <v>2230</v>
      </c>
      <c r="H202" s="123">
        <v>2240</v>
      </c>
      <c r="I202" s="123">
        <v>2800</v>
      </c>
      <c r="J202" s="123">
        <v>2250</v>
      </c>
      <c r="K202" s="74">
        <v>2272</v>
      </c>
      <c r="L202" s="74">
        <v>2273</v>
      </c>
      <c r="M202" s="124">
        <v>2274</v>
      </c>
      <c r="N202" s="124">
        <v>2275</v>
      </c>
      <c r="O202" s="124">
        <v>3110</v>
      </c>
      <c r="P202" s="74">
        <v>2282</v>
      </c>
      <c r="Q202" s="125">
        <v>2730</v>
      </c>
      <c r="R202" s="27">
        <f>E201+F201+G201+H201+K201+L201+M201+N201+O201+P201+Q201+J201+I201</f>
        <v>0</v>
      </c>
    </row>
    <row r="203" spans="2:18" ht="13.5" customHeight="1" thickBot="1">
      <c r="B203" s="63"/>
      <c r="C203" s="63"/>
      <c r="D203" s="86"/>
      <c r="E203" s="111"/>
      <c r="F203" s="111"/>
      <c r="G203" s="111"/>
      <c r="H203" s="111"/>
      <c r="I203" s="111"/>
      <c r="J203" s="111"/>
      <c r="K203" s="83"/>
      <c r="L203" s="83"/>
      <c r="M203" s="82"/>
      <c r="N203" s="84"/>
      <c r="O203" s="83"/>
      <c r="P203" s="85"/>
      <c r="Q203" s="85"/>
      <c r="R203" s="234">
        <f>E203+F203+G203+H203+I203+J203+K203+L203+M203+N203+O203+P203+Q203</f>
        <v>0</v>
      </c>
    </row>
    <row r="204" spans="2:18" ht="13.5" customHeight="1">
      <c r="B204" s="435"/>
      <c r="C204" s="435"/>
      <c r="D204" s="435"/>
      <c r="E204" s="435"/>
      <c r="F204" s="435"/>
      <c r="G204" s="435"/>
      <c r="H204" s="435"/>
      <c r="I204" s="435"/>
      <c r="J204" s="435"/>
      <c r="K204" s="435"/>
      <c r="L204" s="435"/>
      <c r="M204" s="435"/>
      <c r="N204" s="435"/>
      <c r="O204" s="435"/>
      <c r="P204" s="435"/>
      <c r="Q204" s="435"/>
      <c r="R204" s="435"/>
    </row>
    <row r="205" spans="2:18" ht="13.5" customHeight="1"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</row>
    <row r="206" spans="2:18" ht="13.5" customHeight="1"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</row>
    <row r="207" spans="2:18" ht="13.5" customHeight="1" thickBot="1">
      <c r="B207" s="435" t="s">
        <v>47</v>
      </c>
      <c r="C207" s="435"/>
      <c r="D207" s="435"/>
      <c r="E207" s="435"/>
      <c r="F207" s="435"/>
      <c r="G207" s="435"/>
      <c r="H207" s="435"/>
      <c r="I207" s="435"/>
      <c r="J207" s="435"/>
      <c r="K207" s="435"/>
      <c r="L207" s="435"/>
      <c r="M207" s="435"/>
      <c r="N207" s="435"/>
      <c r="O207" s="435"/>
      <c r="P207" s="435"/>
      <c r="Q207" s="435"/>
      <c r="R207" s="435"/>
    </row>
    <row r="208" spans="2:18" ht="13.5" customHeight="1" thickBot="1">
      <c r="B208" s="25" t="s">
        <v>36</v>
      </c>
      <c r="C208" s="211">
        <v>2110</v>
      </c>
      <c r="D208" s="211">
        <v>2111</v>
      </c>
      <c r="E208" s="207">
        <v>2210</v>
      </c>
      <c r="F208" s="120">
        <v>2220</v>
      </c>
      <c r="G208" s="120">
        <v>2230</v>
      </c>
      <c r="H208" s="120">
        <v>2240</v>
      </c>
      <c r="I208" s="120">
        <v>2800</v>
      </c>
      <c r="J208" s="120">
        <v>2250</v>
      </c>
      <c r="K208" s="15">
        <v>2272</v>
      </c>
      <c r="L208" s="15">
        <v>2273</v>
      </c>
      <c r="M208" s="121">
        <v>2274</v>
      </c>
      <c r="N208" s="121">
        <v>2275</v>
      </c>
      <c r="O208" s="121">
        <v>3110</v>
      </c>
      <c r="P208" s="15">
        <v>2282</v>
      </c>
      <c r="Q208" s="210">
        <v>2730</v>
      </c>
      <c r="R208" s="226" t="s">
        <v>35</v>
      </c>
    </row>
    <row r="209" spans="1:18" ht="13.5" customHeight="1">
      <c r="A209" s="245">
        <v>1</v>
      </c>
      <c r="B209" s="21" t="s">
        <v>0</v>
      </c>
      <c r="C209" s="43"/>
      <c r="D209" s="44"/>
      <c r="E209" s="105"/>
      <c r="F209" s="94"/>
      <c r="G209" s="92"/>
      <c r="H209" s="92"/>
      <c r="I209" s="45"/>
      <c r="J209" s="95"/>
      <c r="K209" s="46"/>
      <c r="L209" s="28"/>
      <c r="M209" s="46"/>
      <c r="N209" s="48"/>
      <c r="O209" s="49"/>
      <c r="P209" s="49"/>
      <c r="Q209" s="50"/>
      <c r="R209" s="31">
        <f>SUM(E209:P209)</f>
        <v>0</v>
      </c>
    </row>
    <row r="210" spans="1:18" ht="13.5" customHeight="1">
      <c r="A210" s="245">
        <v>2</v>
      </c>
      <c r="B210" s="22" t="s">
        <v>1</v>
      </c>
      <c r="C210" s="17"/>
      <c r="D210" s="3"/>
      <c r="E210" s="106"/>
      <c r="F210" s="98"/>
      <c r="G210" s="95"/>
      <c r="H210" s="97"/>
      <c r="I210" s="20"/>
      <c r="J210" s="96"/>
      <c r="K210" s="4"/>
      <c r="L210" s="29"/>
      <c r="M210" s="34"/>
      <c r="N210" s="6"/>
      <c r="O210" s="1"/>
      <c r="P210" s="1"/>
      <c r="Q210" s="26"/>
      <c r="R210" s="37">
        <f>SUM(E210:P210)</f>
        <v>0</v>
      </c>
    </row>
    <row r="211" spans="1:18" ht="13.5" customHeight="1">
      <c r="A211" s="245">
        <v>3</v>
      </c>
      <c r="B211" s="22" t="s">
        <v>2</v>
      </c>
      <c r="C211" s="17"/>
      <c r="D211" s="3"/>
      <c r="E211" s="106"/>
      <c r="F211" s="98"/>
      <c r="G211" s="95"/>
      <c r="H211" s="97"/>
      <c r="I211" s="20"/>
      <c r="J211" s="95"/>
      <c r="K211" s="4"/>
      <c r="L211" s="29"/>
      <c r="M211" s="34"/>
      <c r="N211" s="6"/>
      <c r="O211" s="1"/>
      <c r="P211" s="113"/>
      <c r="Q211" s="26"/>
      <c r="R211" s="37">
        <f>SUM(E211:P211)</f>
        <v>0</v>
      </c>
    </row>
    <row r="212" spans="1:18" ht="13.5" customHeight="1">
      <c r="A212" s="245">
        <v>4</v>
      </c>
      <c r="B212" s="22" t="s">
        <v>3</v>
      </c>
      <c r="C212" s="17"/>
      <c r="D212" s="3"/>
      <c r="E212" s="106"/>
      <c r="F212" s="98"/>
      <c r="G212" s="95"/>
      <c r="H212" s="97"/>
      <c r="I212" s="20"/>
      <c r="J212" s="96"/>
      <c r="K212" s="4"/>
      <c r="L212" s="29"/>
      <c r="M212" s="34"/>
      <c r="N212" s="6"/>
      <c r="O212" s="1"/>
      <c r="P212" s="113"/>
      <c r="Q212" s="26"/>
      <c r="R212" s="37">
        <f>SUM(E212:P212)</f>
        <v>0</v>
      </c>
    </row>
    <row r="213" spans="1:18" ht="13.5" customHeight="1">
      <c r="A213" s="245">
        <v>5</v>
      </c>
      <c r="B213" s="22" t="s">
        <v>4</v>
      </c>
      <c r="C213" s="17"/>
      <c r="D213" s="3"/>
      <c r="E213" s="106"/>
      <c r="F213" s="98"/>
      <c r="G213" s="95"/>
      <c r="H213" s="97"/>
      <c r="I213" s="20"/>
      <c r="J213" s="95"/>
      <c r="K213" s="4"/>
      <c r="L213" s="29"/>
      <c r="M213" s="34"/>
      <c r="N213" s="6"/>
      <c r="O213" s="1"/>
      <c r="P213" s="113"/>
      <c r="Q213" s="26"/>
      <c r="R213" s="37">
        <f>SUM(E213:P213)</f>
        <v>0</v>
      </c>
    </row>
    <row r="214" spans="1:18" ht="13.5" customHeight="1">
      <c r="A214" s="245">
        <v>6</v>
      </c>
      <c r="B214" s="22" t="s">
        <v>5</v>
      </c>
      <c r="C214" s="17"/>
      <c r="D214" s="3"/>
      <c r="E214" s="106"/>
      <c r="F214" s="98"/>
      <c r="G214" s="95"/>
      <c r="H214" s="95"/>
      <c r="I214" s="95"/>
      <c r="J214" s="95"/>
      <c r="K214" s="29"/>
      <c r="L214" s="29"/>
      <c r="M214" s="34"/>
      <c r="N214" s="6"/>
      <c r="O214" s="1"/>
      <c r="P214" s="113"/>
      <c r="Q214" s="90"/>
      <c r="R214" s="37">
        <f>SUM(E214:P214)+Q214</f>
        <v>0</v>
      </c>
    </row>
    <row r="215" spans="1:18" ht="13.5" customHeight="1">
      <c r="A215" s="245">
        <v>7</v>
      </c>
      <c r="B215" s="22" t="s">
        <v>6</v>
      </c>
      <c r="C215" s="17"/>
      <c r="D215" s="3"/>
      <c r="E215" s="106"/>
      <c r="F215" s="98"/>
      <c r="G215" s="95"/>
      <c r="H215" s="97"/>
      <c r="I215" s="20"/>
      <c r="J215" s="95"/>
      <c r="K215" s="36"/>
      <c r="L215" s="29"/>
      <c r="M215" s="35"/>
      <c r="N215" s="6"/>
      <c r="O215" s="1"/>
      <c r="P215" s="113"/>
      <c r="Q215" s="26"/>
      <c r="R215" s="37">
        <f aca="true" t="shared" si="10" ref="R215:R244">SUM(E215:P215)</f>
        <v>0</v>
      </c>
    </row>
    <row r="216" spans="1:18" ht="13.5" customHeight="1">
      <c r="A216" s="245">
        <v>8</v>
      </c>
      <c r="B216" s="22" t="s">
        <v>7</v>
      </c>
      <c r="C216" s="17"/>
      <c r="D216" s="3"/>
      <c r="E216" s="106"/>
      <c r="F216" s="99"/>
      <c r="G216" s="95"/>
      <c r="H216" s="97"/>
      <c r="I216" s="20"/>
      <c r="J216" s="95"/>
      <c r="K216" s="29"/>
      <c r="L216" s="29"/>
      <c r="M216" s="35"/>
      <c r="N216" s="4"/>
      <c r="O216" s="1"/>
      <c r="P216" s="113"/>
      <c r="Q216" s="26"/>
      <c r="R216" s="37">
        <f t="shared" si="10"/>
        <v>0</v>
      </c>
    </row>
    <row r="217" spans="1:18" ht="13.5" customHeight="1">
      <c r="A217" s="245">
        <v>9</v>
      </c>
      <c r="B217" s="22" t="s">
        <v>8</v>
      </c>
      <c r="C217" s="17"/>
      <c r="D217" s="3"/>
      <c r="E217" s="107"/>
      <c r="F217" s="98"/>
      <c r="G217" s="95"/>
      <c r="H217" s="97"/>
      <c r="I217" s="20"/>
      <c r="J217" s="95"/>
      <c r="K217" s="29"/>
      <c r="L217" s="29"/>
      <c r="M217" s="35"/>
      <c r="N217" s="6"/>
      <c r="O217" s="1"/>
      <c r="P217" s="113"/>
      <c r="Q217" s="26"/>
      <c r="R217" s="37">
        <f t="shared" si="10"/>
        <v>0</v>
      </c>
    </row>
    <row r="218" spans="1:18" ht="13.5" customHeight="1">
      <c r="A218" s="245">
        <v>10</v>
      </c>
      <c r="B218" s="22" t="s">
        <v>9</v>
      </c>
      <c r="C218" s="17"/>
      <c r="D218" s="3"/>
      <c r="E218" s="107"/>
      <c r="F218" s="98"/>
      <c r="G218" s="95"/>
      <c r="H218" s="97"/>
      <c r="I218" s="20"/>
      <c r="J218" s="95"/>
      <c r="K218" s="36"/>
      <c r="L218" s="29"/>
      <c r="M218" s="35"/>
      <c r="N218" s="6"/>
      <c r="O218" s="1"/>
      <c r="P218" s="113"/>
      <c r="Q218" s="26"/>
      <c r="R218" s="37">
        <f t="shared" si="10"/>
        <v>0</v>
      </c>
    </row>
    <row r="219" spans="1:18" ht="13.5" customHeight="1">
      <c r="A219" s="245">
        <v>11</v>
      </c>
      <c r="B219" s="22" t="s">
        <v>10</v>
      </c>
      <c r="C219" s="17"/>
      <c r="D219" s="3"/>
      <c r="E219" s="107"/>
      <c r="F219" s="98"/>
      <c r="G219" s="95"/>
      <c r="H219" s="97"/>
      <c r="I219" s="20"/>
      <c r="J219" s="95"/>
      <c r="K219" s="29"/>
      <c r="L219" s="29"/>
      <c r="M219" s="35"/>
      <c r="N219" s="4"/>
      <c r="O219" s="1"/>
      <c r="P219" s="113"/>
      <c r="Q219" s="26"/>
      <c r="R219" s="37">
        <f t="shared" si="10"/>
        <v>0</v>
      </c>
    </row>
    <row r="220" spans="1:18" ht="13.5" customHeight="1">
      <c r="A220" s="245">
        <v>12</v>
      </c>
      <c r="B220" s="22" t="s">
        <v>11</v>
      </c>
      <c r="C220" s="17"/>
      <c r="D220" s="3"/>
      <c r="E220" s="107"/>
      <c r="F220" s="98"/>
      <c r="G220" s="95"/>
      <c r="H220" s="97"/>
      <c r="I220" s="20"/>
      <c r="J220" s="95"/>
      <c r="K220" s="29"/>
      <c r="L220" s="29"/>
      <c r="M220" s="34"/>
      <c r="N220" s="4"/>
      <c r="O220" s="1"/>
      <c r="P220" s="113"/>
      <c r="Q220" s="26"/>
      <c r="R220" s="37">
        <f t="shared" si="10"/>
        <v>0</v>
      </c>
    </row>
    <row r="221" spans="1:18" ht="13.5" customHeight="1">
      <c r="A221" s="245">
        <v>13</v>
      </c>
      <c r="B221" s="22" t="s">
        <v>40</v>
      </c>
      <c r="C221" s="17"/>
      <c r="D221" s="3"/>
      <c r="E221" s="107"/>
      <c r="F221" s="98"/>
      <c r="G221" s="95"/>
      <c r="H221" s="97"/>
      <c r="I221" s="20"/>
      <c r="J221" s="95"/>
      <c r="K221" s="29"/>
      <c r="L221" s="29"/>
      <c r="M221" s="34"/>
      <c r="N221" s="4"/>
      <c r="O221" s="1"/>
      <c r="P221" s="113"/>
      <c r="Q221" s="26"/>
      <c r="R221" s="37">
        <f t="shared" si="10"/>
        <v>0</v>
      </c>
    </row>
    <row r="222" spans="1:18" ht="13.5" customHeight="1">
      <c r="A222" s="245">
        <v>14</v>
      </c>
      <c r="B222" s="22" t="s">
        <v>14</v>
      </c>
      <c r="C222" s="17"/>
      <c r="D222" s="3"/>
      <c r="E222" s="107"/>
      <c r="F222" s="98"/>
      <c r="G222" s="95"/>
      <c r="H222" s="97"/>
      <c r="I222" s="20"/>
      <c r="J222" s="95"/>
      <c r="K222" s="36"/>
      <c r="L222" s="29"/>
      <c r="M222" s="35"/>
      <c r="N222" s="4"/>
      <c r="O222" s="1"/>
      <c r="P222" s="1"/>
      <c r="Q222" s="26"/>
      <c r="R222" s="37">
        <f t="shared" si="10"/>
        <v>0</v>
      </c>
    </row>
    <row r="223" spans="1:18" ht="13.5" customHeight="1">
      <c r="A223" s="245">
        <v>15</v>
      </c>
      <c r="B223" s="22" t="s">
        <v>15</v>
      </c>
      <c r="C223" s="17"/>
      <c r="D223" s="3"/>
      <c r="E223" s="107"/>
      <c r="F223" s="98"/>
      <c r="G223" s="95"/>
      <c r="H223" s="97"/>
      <c r="I223" s="20"/>
      <c r="J223" s="95"/>
      <c r="K223" s="36"/>
      <c r="L223" s="29"/>
      <c r="M223" s="35"/>
      <c r="N223" s="4"/>
      <c r="O223" s="1"/>
      <c r="P223" s="1"/>
      <c r="Q223" s="26"/>
      <c r="R223" s="37">
        <f t="shared" si="10"/>
        <v>0</v>
      </c>
    </row>
    <row r="224" spans="1:18" ht="13.5" customHeight="1">
      <c r="A224" s="245">
        <v>16</v>
      </c>
      <c r="B224" s="22" t="s">
        <v>16</v>
      </c>
      <c r="C224" s="17"/>
      <c r="D224" s="3"/>
      <c r="E224" s="107"/>
      <c r="F224" s="98"/>
      <c r="G224" s="95"/>
      <c r="H224" s="97"/>
      <c r="I224" s="20"/>
      <c r="J224" s="95"/>
      <c r="K224" s="36"/>
      <c r="L224" s="29"/>
      <c r="M224" s="35"/>
      <c r="N224" s="6"/>
      <c r="O224" s="1"/>
      <c r="P224" s="1"/>
      <c r="Q224" s="26"/>
      <c r="R224" s="37">
        <f t="shared" si="10"/>
        <v>0</v>
      </c>
    </row>
    <row r="225" spans="1:18" ht="13.5" customHeight="1">
      <c r="A225" s="245">
        <v>17</v>
      </c>
      <c r="B225" s="22" t="s">
        <v>17</v>
      </c>
      <c r="C225" s="17"/>
      <c r="D225" s="3"/>
      <c r="E225" s="107"/>
      <c r="F225" s="98"/>
      <c r="G225" s="95"/>
      <c r="H225" s="97"/>
      <c r="I225" s="20"/>
      <c r="J225" s="95"/>
      <c r="K225" s="36"/>
      <c r="L225" s="29"/>
      <c r="M225" s="35"/>
      <c r="N225" s="4"/>
      <c r="O225" s="1"/>
      <c r="P225" s="1"/>
      <c r="Q225" s="26"/>
      <c r="R225" s="37">
        <f t="shared" si="10"/>
        <v>0</v>
      </c>
    </row>
    <row r="226" spans="1:18" ht="13.5" customHeight="1">
      <c r="A226" s="245">
        <v>18</v>
      </c>
      <c r="B226" s="22" t="s">
        <v>18</v>
      </c>
      <c r="C226" s="17"/>
      <c r="D226" s="3"/>
      <c r="E226" s="107"/>
      <c r="F226" s="98"/>
      <c r="G226" s="95"/>
      <c r="H226" s="97"/>
      <c r="I226" s="20"/>
      <c r="J226" s="95"/>
      <c r="K226" s="36"/>
      <c r="L226" s="29"/>
      <c r="M226" s="34"/>
      <c r="N226" s="6"/>
      <c r="O226" s="1"/>
      <c r="P226" s="1"/>
      <c r="Q226" s="26"/>
      <c r="R226" s="37">
        <f t="shared" si="10"/>
        <v>0</v>
      </c>
    </row>
    <row r="227" spans="1:18" ht="13.5" customHeight="1">
      <c r="A227" s="245">
        <v>19</v>
      </c>
      <c r="B227" s="22" t="s">
        <v>19</v>
      </c>
      <c r="C227" s="17"/>
      <c r="D227" s="3"/>
      <c r="E227" s="107"/>
      <c r="F227" s="98"/>
      <c r="G227" s="95"/>
      <c r="H227" s="97"/>
      <c r="I227" s="20"/>
      <c r="J227" s="95"/>
      <c r="K227" s="36"/>
      <c r="L227" s="29"/>
      <c r="M227" s="35"/>
      <c r="N227" s="4"/>
      <c r="O227" s="1"/>
      <c r="P227" s="1"/>
      <c r="Q227" s="26"/>
      <c r="R227" s="37">
        <f t="shared" si="10"/>
        <v>0</v>
      </c>
    </row>
    <row r="228" spans="1:18" ht="13.5" customHeight="1">
      <c r="A228" s="245">
        <v>20</v>
      </c>
      <c r="B228" s="22" t="s">
        <v>20</v>
      </c>
      <c r="C228" s="58"/>
      <c r="D228" s="11"/>
      <c r="E228" s="107"/>
      <c r="F228" s="98"/>
      <c r="G228" s="95"/>
      <c r="H228" s="97"/>
      <c r="I228" s="20"/>
      <c r="J228" s="96"/>
      <c r="K228" s="4"/>
      <c r="L228" s="29"/>
      <c r="M228" s="35"/>
      <c r="N228" s="4"/>
      <c r="O228" s="1"/>
      <c r="P228" s="1"/>
      <c r="Q228" s="26"/>
      <c r="R228" s="37">
        <f t="shared" si="10"/>
        <v>0</v>
      </c>
    </row>
    <row r="229" spans="1:18" ht="13.5" customHeight="1">
      <c r="A229" s="245">
        <v>21</v>
      </c>
      <c r="B229" s="22" t="s">
        <v>21</v>
      </c>
      <c r="C229" s="58"/>
      <c r="D229" s="10"/>
      <c r="E229" s="107"/>
      <c r="F229" s="98"/>
      <c r="G229" s="95"/>
      <c r="H229" s="97"/>
      <c r="I229" s="20"/>
      <c r="J229" s="95"/>
      <c r="K229" s="36"/>
      <c r="L229" s="29"/>
      <c r="M229" s="35"/>
      <c r="N229" s="4"/>
      <c r="O229" s="1"/>
      <c r="P229" s="1"/>
      <c r="Q229" s="26"/>
      <c r="R229" s="37">
        <f t="shared" si="10"/>
        <v>0</v>
      </c>
    </row>
    <row r="230" spans="1:18" ht="13.5" customHeight="1">
      <c r="A230" s="245">
        <v>22</v>
      </c>
      <c r="B230" s="22" t="s">
        <v>22</v>
      </c>
      <c r="C230" s="58"/>
      <c r="D230" s="10"/>
      <c r="E230" s="107"/>
      <c r="F230" s="98"/>
      <c r="G230" s="95"/>
      <c r="H230" s="97"/>
      <c r="I230" s="20"/>
      <c r="J230" s="95"/>
      <c r="K230" s="4"/>
      <c r="L230" s="29"/>
      <c r="M230" s="35"/>
      <c r="N230" s="4"/>
      <c r="O230" s="1"/>
      <c r="P230" s="1"/>
      <c r="Q230" s="26"/>
      <c r="R230" s="37">
        <f t="shared" si="10"/>
        <v>0</v>
      </c>
    </row>
    <row r="231" spans="1:18" ht="13.5" customHeight="1">
      <c r="A231" s="245">
        <v>23</v>
      </c>
      <c r="B231" s="22" t="s">
        <v>23</v>
      </c>
      <c r="C231" s="58"/>
      <c r="D231" s="10"/>
      <c r="E231" s="107"/>
      <c r="F231" s="98"/>
      <c r="G231" s="95"/>
      <c r="H231" s="97"/>
      <c r="I231" s="20"/>
      <c r="J231" s="96"/>
      <c r="K231" s="4"/>
      <c r="L231" s="29"/>
      <c r="M231" s="35"/>
      <c r="N231" s="4"/>
      <c r="O231" s="1"/>
      <c r="P231" s="1"/>
      <c r="Q231" s="26"/>
      <c r="R231" s="37">
        <f t="shared" si="10"/>
        <v>0</v>
      </c>
    </row>
    <row r="232" spans="1:18" ht="13.5" customHeight="1">
      <c r="A232" s="245">
        <v>24</v>
      </c>
      <c r="B232" s="22" t="s">
        <v>24</v>
      </c>
      <c r="C232" s="58"/>
      <c r="D232" s="10"/>
      <c r="E232" s="107"/>
      <c r="F232" s="98"/>
      <c r="G232" s="95"/>
      <c r="H232" s="97"/>
      <c r="I232" s="20"/>
      <c r="J232" s="95"/>
      <c r="K232" s="4"/>
      <c r="L232" s="29"/>
      <c r="M232" s="36"/>
      <c r="N232" s="4"/>
      <c r="O232" s="1"/>
      <c r="P232" s="1"/>
      <c r="Q232" s="26"/>
      <c r="R232" s="37">
        <f t="shared" si="10"/>
        <v>0</v>
      </c>
    </row>
    <row r="233" spans="1:18" ht="13.5" customHeight="1">
      <c r="A233" s="245">
        <v>25</v>
      </c>
      <c r="B233" s="22" t="s">
        <v>25</v>
      </c>
      <c r="C233" s="58"/>
      <c r="D233" s="10"/>
      <c r="E233" s="107"/>
      <c r="F233" s="98"/>
      <c r="G233" s="95"/>
      <c r="H233" s="96"/>
      <c r="I233" s="3"/>
      <c r="J233" s="3"/>
      <c r="K233" s="4"/>
      <c r="L233" s="29"/>
      <c r="M233" s="4"/>
      <c r="N233" s="4"/>
      <c r="O233" s="1"/>
      <c r="P233" s="1"/>
      <c r="Q233" s="26"/>
      <c r="R233" s="37">
        <f t="shared" si="10"/>
        <v>0</v>
      </c>
    </row>
    <row r="234" spans="1:18" ht="13.5" customHeight="1">
      <c r="A234" s="245">
        <v>26</v>
      </c>
      <c r="B234" s="22" t="s">
        <v>26</v>
      </c>
      <c r="C234" s="58"/>
      <c r="D234" s="10"/>
      <c r="E234" s="107"/>
      <c r="F234" s="98"/>
      <c r="G234" s="95"/>
      <c r="H234" s="98"/>
      <c r="I234" s="3"/>
      <c r="J234" s="95"/>
      <c r="K234" s="29"/>
      <c r="L234" s="29"/>
      <c r="M234" s="4"/>
      <c r="N234" s="4"/>
      <c r="O234" s="1"/>
      <c r="P234" s="1"/>
      <c r="Q234" s="26"/>
      <c r="R234" s="37">
        <f t="shared" si="10"/>
        <v>0</v>
      </c>
    </row>
    <row r="235" spans="1:18" ht="13.5" customHeight="1">
      <c r="A235" s="245">
        <v>27</v>
      </c>
      <c r="B235" s="22" t="s">
        <v>27</v>
      </c>
      <c r="C235" s="58"/>
      <c r="D235" s="10"/>
      <c r="E235" s="107"/>
      <c r="F235" s="98"/>
      <c r="G235" s="95"/>
      <c r="H235" s="98"/>
      <c r="I235" s="3"/>
      <c r="J235" s="3"/>
      <c r="K235" s="4"/>
      <c r="L235" s="29"/>
      <c r="M235" s="4"/>
      <c r="N235" s="4"/>
      <c r="O235" s="1"/>
      <c r="P235" s="1"/>
      <c r="Q235" s="26"/>
      <c r="R235" s="37">
        <f t="shared" si="10"/>
        <v>0</v>
      </c>
    </row>
    <row r="236" spans="1:18" ht="13.5" customHeight="1">
      <c r="A236" s="245">
        <v>28</v>
      </c>
      <c r="B236" s="22" t="s">
        <v>28</v>
      </c>
      <c r="C236" s="58"/>
      <c r="D236" s="10"/>
      <c r="E236" s="107"/>
      <c r="F236" s="98"/>
      <c r="G236" s="95"/>
      <c r="H236" s="98"/>
      <c r="I236" s="3"/>
      <c r="J236" s="3"/>
      <c r="K236" s="4"/>
      <c r="L236" s="29"/>
      <c r="M236" s="4"/>
      <c r="N236" s="4"/>
      <c r="O236" s="1"/>
      <c r="P236" s="1"/>
      <c r="Q236" s="26"/>
      <c r="R236" s="37">
        <f t="shared" si="10"/>
        <v>0</v>
      </c>
    </row>
    <row r="237" spans="1:18" ht="13.5" customHeight="1">
      <c r="A237" s="245">
        <v>29</v>
      </c>
      <c r="B237" s="22" t="s">
        <v>29</v>
      </c>
      <c r="C237" s="58"/>
      <c r="D237" s="10"/>
      <c r="E237" s="107"/>
      <c r="F237" s="98"/>
      <c r="G237" s="95"/>
      <c r="H237" s="98"/>
      <c r="I237" s="3"/>
      <c r="J237" s="95"/>
      <c r="K237" s="4"/>
      <c r="L237" s="29"/>
      <c r="M237" s="4"/>
      <c r="N237" s="4"/>
      <c r="O237" s="1"/>
      <c r="P237" s="1"/>
      <c r="Q237" s="26"/>
      <c r="R237" s="37">
        <f t="shared" si="10"/>
        <v>0</v>
      </c>
    </row>
    <row r="238" spans="1:18" ht="13.5" customHeight="1">
      <c r="A238" s="245">
        <v>30</v>
      </c>
      <c r="B238" s="22" t="s">
        <v>30</v>
      </c>
      <c r="C238" s="58"/>
      <c r="D238" s="10"/>
      <c r="E238" s="107"/>
      <c r="F238" s="98"/>
      <c r="G238" s="95"/>
      <c r="H238" s="98"/>
      <c r="I238" s="3"/>
      <c r="J238" s="3"/>
      <c r="K238" s="4"/>
      <c r="L238" s="29"/>
      <c r="M238" s="4"/>
      <c r="N238" s="4"/>
      <c r="O238" s="1"/>
      <c r="P238" s="1"/>
      <c r="Q238" s="26"/>
      <c r="R238" s="37">
        <f t="shared" si="10"/>
        <v>0</v>
      </c>
    </row>
    <row r="239" spans="1:18" ht="13.5" customHeight="1">
      <c r="A239" s="245">
        <v>31</v>
      </c>
      <c r="B239" s="22" t="s">
        <v>31</v>
      </c>
      <c r="C239" s="58"/>
      <c r="D239" s="10"/>
      <c r="E239" s="107"/>
      <c r="F239" s="98"/>
      <c r="G239" s="95"/>
      <c r="H239" s="98"/>
      <c r="I239" s="3"/>
      <c r="J239" s="3"/>
      <c r="K239" s="4"/>
      <c r="L239" s="29"/>
      <c r="M239" s="36"/>
      <c r="N239" s="4"/>
      <c r="O239" s="1"/>
      <c r="P239" s="1"/>
      <c r="Q239" s="26"/>
      <c r="R239" s="37">
        <f t="shared" si="10"/>
        <v>0</v>
      </c>
    </row>
    <row r="240" spans="1:18" ht="13.5" customHeight="1">
      <c r="A240" s="245">
        <v>32</v>
      </c>
      <c r="B240" s="22" t="s">
        <v>32</v>
      </c>
      <c r="C240" s="58"/>
      <c r="D240" s="10"/>
      <c r="E240" s="107"/>
      <c r="F240" s="98"/>
      <c r="G240" s="95"/>
      <c r="H240" s="98"/>
      <c r="I240" s="3"/>
      <c r="J240" s="95"/>
      <c r="K240" s="4"/>
      <c r="L240" s="29"/>
      <c r="M240" s="4"/>
      <c r="N240" s="4"/>
      <c r="O240" s="1"/>
      <c r="P240" s="1"/>
      <c r="Q240" s="26"/>
      <c r="R240" s="37">
        <f t="shared" si="10"/>
        <v>0</v>
      </c>
    </row>
    <row r="241" spans="1:18" ht="13.5" customHeight="1">
      <c r="A241" s="245">
        <v>33</v>
      </c>
      <c r="B241" s="23" t="s">
        <v>33</v>
      </c>
      <c r="C241" s="58"/>
      <c r="D241" s="10"/>
      <c r="E241" s="107"/>
      <c r="F241" s="100"/>
      <c r="G241" s="95"/>
      <c r="H241" s="100"/>
      <c r="I241" s="7"/>
      <c r="J241" s="7"/>
      <c r="K241" s="4"/>
      <c r="L241" s="29"/>
      <c r="M241" s="4"/>
      <c r="N241" s="4"/>
      <c r="O241" s="1"/>
      <c r="P241" s="1"/>
      <c r="Q241" s="26"/>
      <c r="R241" s="37">
        <f t="shared" si="10"/>
        <v>0</v>
      </c>
    </row>
    <row r="242" spans="1:18" ht="13.5" customHeight="1">
      <c r="A242" s="245">
        <v>34</v>
      </c>
      <c r="B242" s="23" t="s">
        <v>34</v>
      </c>
      <c r="C242" s="58"/>
      <c r="D242" s="10"/>
      <c r="E242" s="107"/>
      <c r="F242" s="100"/>
      <c r="G242" s="95"/>
      <c r="H242" s="100"/>
      <c r="I242" s="7"/>
      <c r="J242" s="95"/>
      <c r="K242" s="4"/>
      <c r="L242" s="29"/>
      <c r="M242" s="4"/>
      <c r="N242" s="4"/>
      <c r="O242" s="1"/>
      <c r="P242" s="1"/>
      <c r="Q242" s="26"/>
      <c r="R242" s="37">
        <f t="shared" si="10"/>
        <v>0</v>
      </c>
    </row>
    <row r="243" spans="1:18" ht="13.5" customHeight="1">
      <c r="A243" s="245">
        <v>35</v>
      </c>
      <c r="B243" s="23" t="s">
        <v>37</v>
      </c>
      <c r="C243" s="58"/>
      <c r="D243" s="10"/>
      <c r="E243" s="96"/>
      <c r="F243" s="100"/>
      <c r="G243" s="95"/>
      <c r="H243" s="100"/>
      <c r="I243" s="7"/>
      <c r="J243" s="40"/>
      <c r="K243" s="4"/>
      <c r="L243" s="29"/>
      <c r="M243" s="41"/>
      <c r="N243" s="4"/>
      <c r="O243" s="1"/>
      <c r="P243" s="1"/>
      <c r="Q243" s="26"/>
      <c r="R243" s="37">
        <f t="shared" si="10"/>
        <v>0</v>
      </c>
    </row>
    <row r="244" spans="1:18" ht="13.5" customHeight="1" thickBot="1">
      <c r="A244" s="245">
        <v>36</v>
      </c>
      <c r="B244" s="24" t="s">
        <v>38</v>
      </c>
      <c r="C244" s="78"/>
      <c r="D244" s="52"/>
      <c r="E244" s="102"/>
      <c r="F244" s="103"/>
      <c r="G244" s="102"/>
      <c r="H244" s="102"/>
      <c r="I244" s="51"/>
      <c r="J244" s="53"/>
      <c r="K244" s="54"/>
      <c r="L244" s="55"/>
      <c r="M244" s="56"/>
      <c r="N244" s="54"/>
      <c r="O244" s="57"/>
      <c r="P244" s="248"/>
      <c r="Q244" s="65"/>
      <c r="R244" s="37">
        <f t="shared" si="10"/>
        <v>0</v>
      </c>
    </row>
    <row r="245" spans="2:18" ht="13.5" customHeight="1" thickBot="1">
      <c r="B245" s="32" t="s">
        <v>12</v>
      </c>
      <c r="C245" s="115">
        <f>SUM(C228:C244)</f>
        <v>0</v>
      </c>
      <c r="D245" s="115">
        <f>SUM(D228:D244)</f>
        <v>0</v>
      </c>
      <c r="E245" s="126">
        <f>SUM(E209:E243)+E244</f>
        <v>0</v>
      </c>
      <c r="F245" s="116">
        <f>SUM(F209:F243)</f>
        <v>0</v>
      </c>
      <c r="G245" s="116">
        <f>SUM(G209:G243)</f>
        <v>0</v>
      </c>
      <c r="H245" s="116">
        <f>SUM(H209:H243)+H244</f>
        <v>0</v>
      </c>
      <c r="I245" s="116">
        <f aca="true" t="shared" si="11" ref="I245:Q245">SUM(I209:I243)</f>
        <v>0</v>
      </c>
      <c r="J245" s="116">
        <f t="shared" si="11"/>
        <v>0</v>
      </c>
      <c r="K245" s="116">
        <f t="shared" si="11"/>
        <v>0</v>
      </c>
      <c r="L245" s="116">
        <f t="shared" si="11"/>
        <v>0</v>
      </c>
      <c r="M245" s="116">
        <f t="shared" si="11"/>
        <v>0</v>
      </c>
      <c r="N245" s="127">
        <f t="shared" si="11"/>
        <v>0</v>
      </c>
      <c r="O245" s="127">
        <f t="shared" si="11"/>
        <v>0</v>
      </c>
      <c r="P245" s="127">
        <f>SUM(P209:P243)+P244</f>
        <v>0</v>
      </c>
      <c r="Q245" s="128">
        <f t="shared" si="11"/>
        <v>0</v>
      </c>
      <c r="R245" s="27">
        <f>SUM(R209:R243)+R244</f>
        <v>0</v>
      </c>
    </row>
    <row r="246" spans="2:18" ht="13.5" customHeight="1" thickBot="1">
      <c r="B246" s="80"/>
      <c r="C246" s="122">
        <v>2110</v>
      </c>
      <c r="D246" s="122">
        <v>2111</v>
      </c>
      <c r="E246" s="117">
        <v>2210</v>
      </c>
      <c r="F246" s="123">
        <v>2220</v>
      </c>
      <c r="G246" s="123">
        <v>2230</v>
      </c>
      <c r="H246" s="123">
        <v>2240</v>
      </c>
      <c r="I246" s="123">
        <v>2800</v>
      </c>
      <c r="J246" s="123">
        <v>2250</v>
      </c>
      <c r="K246" s="74">
        <v>2272</v>
      </c>
      <c r="L246" s="74">
        <v>2273</v>
      </c>
      <c r="M246" s="124">
        <v>2274</v>
      </c>
      <c r="N246" s="124">
        <v>2275</v>
      </c>
      <c r="O246" s="124">
        <v>3110</v>
      </c>
      <c r="P246" s="74">
        <v>2282</v>
      </c>
      <c r="Q246" s="125">
        <v>2730</v>
      </c>
      <c r="R246" s="27">
        <f>E245+F245+G245+H245+K245+L245+M245+N245+O245+P245+Q245+J245+I245</f>
        <v>0</v>
      </c>
    </row>
    <row r="247" spans="2:18" ht="13.5" customHeight="1" thickBot="1">
      <c r="B247" s="63"/>
      <c r="C247" s="118"/>
      <c r="D247" s="118"/>
      <c r="E247" s="111"/>
      <c r="F247" s="111"/>
      <c r="G247" s="111"/>
      <c r="H247" s="111"/>
      <c r="I247" s="111"/>
      <c r="J247" s="111"/>
      <c r="K247" s="83"/>
      <c r="L247" s="83"/>
      <c r="M247" s="111"/>
      <c r="N247" s="112"/>
      <c r="O247" s="83"/>
      <c r="P247" s="85"/>
      <c r="Q247" s="85"/>
      <c r="R247" s="234">
        <f>E247+F247+G247+H247+I247+J247+K247+L247+M247+N247+O247+P247+Q247</f>
        <v>0</v>
      </c>
    </row>
    <row r="248" spans="2:18" ht="13.5" customHeight="1">
      <c r="B248" s="435"/>
      <c r="C248" s="435"/>
      <c r="D248" s="435"/>
      <c r="E248" s="435"/>
      <c r="F248" s="435"/>
      <c r="G248" s="435"/>
      <c r="H248" s="435"/>
      <c r="I248" s="435"/>
      <c r="J248" s="435"/>
      <c r="K248" s="435"/>
      <c r="L248" s="435"/>
      <c r="M248" s="435"/>
      <c r="N248" s="435"/>
      <c r="O248" s="435"/>
      <c r="P248" s="435"/>
      <c r="Q248" s="435"/>
      <c r="R248" s="435"/>
    </row>
    <row r="249" spans="2:18" ht="13.5" customHeight="1"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</row>
    <row r="250" spans="2:18" ht="13.5" customHeight="1"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</row>
    <row r="251" spans="2:18" ht="13.5" customHeight="1">
      <c r="B251" s="435"/>
      <c r="C251" s="435"/>
      <c r="D251" s="435"/>
      <c r="E251" s="435"/>
      <c r="F251" s="435"/>
      <c r="G251" s="435"/>
      <c r="H251" s="435"/>
      <c r="I251" s="435"/>
      <c r="J251" s="435"/>
      <c r="K251" s="435"/>
      <c r="L251" s="435"/>
      <c r="M251" s="435"/>
      <c r="N251" s="435"/>
      <c r="O251" s="435"/>
      <c r="P251" s="435"/>
      <c r="Q251" s="435"/>
      <c r="R251" s="435"/>
    </row>
    <row r="252" spans="2:18" ht="13.5" customHeight="1" thickBot="1">
      <c r="B252" s="435" t="s">
        <v>48</v>
      </c>
      <c r="C252" s="435"/>
      <c r="D252" s="435"/>
      <c r="E252" s="435"/>
      <c r="F252" s="435"/>
      <c r="G252" s="435"/>
      <c r="H252" s="435"/>
      <c r="I252" s="435"/>
      <c r="J252" s="435"/>
      <c r="K252" s="435"/>
      <c r="L252" s="435"/>
      <c r="M252" s="435"/>
      <c r="N252" s="435"/>
      <c r="O252" s="435"/>
      <c r="P252" s="435"/>
      <c r="Q252" s="435"/>
      <c r="R252" s="435"/>
    </row>
    <row r="253" spans="2:18" ht="13.5" customHeight="1" thickBot="1">
      <c r="B253" s="25" t="s">
        <v>36</v>
      </c>
      <c r="C253" s="211">
        <v>2110</v>
      </c>
      <c r="D253" s="211">
        <v>2111</v>
      </c>
      <c r="E253" s="207">
        <v>2210</v>
      </c>
      <c r="F253" s="120">
        <v>2220</v>
      </c>
      <c r="G253" s="120">
        <v>2230</v>
      </c>
      <c r="H253" s="120">
        <v>2240</v>
      </c>
      <c r="I253" s="120">
        <v>2800</v>
      </c>
      <c r="J253" s="120">
        <v>2250</v>
      </c>
      <c r="K253" s="15">
        <v>2272</v>
      </c>
      <c r="L253" s="15">
        <v>2273</v>
      </c>
      <c r="M253" s="121">
        <v>2274</v>
      </c>
      <c r="N253" s="121">
        <v>2275</v>
      </c>
      <c r="O253" s="121">
        <v>3110</v>
      </c>
      <c r="P253" s="15">
        <v>2282</v>
      </c>
      <c r="Q253" s="210">
        <v>2730</v>
      </c>
      <c r="R253" s="226" t="s">
        <v>35</v>
      </c>
    </row>
    <row r="254" spans="1:18" ht="13.5" customHeight="1">
      <c r="A254" s="245">
        <v>1</v>
      </c>
      <c r="B254" s="21" t="s">
        <v>0</v>
      </c>
      <c r="C254" s="43"/>
      <c r="D254" s="262"/>
      <c r="E254" s="263"/>
      <c r="F254" s="262"/>
      <c r="G254" s="264"/>
      <c r="H254" s="265"/>
      <c r="I254" s="265"/>
      <c r="J254" s="279"/>
      <c r="K254" s="266"/>
      <c r="L254" s="267"/>
      <c r="M254" s="266"/>
      <c r="N254" s="267"/>
      <c r="O254" s="268"/>
      <c r="P254" s="268"/>
      <c r="Q254" s="269"/>
      <c r="R254" s="31">
        <f>SUM(E254:P254)</f>
        <v>0</v>
      </c>
    </row>
    <row r="255" spans="1:18" ht="13.5" customHeight="1">
      <c r="A255" s="245">
        <v>2</v>
      </c>
      <c r="B255" s="22" t="s">
        <v>1</v>
      </c>
      <c r="C255" s="17"/>
      <c r="D255" s="270"/>
      <c r="E255" s="255"/>
      <c r="F255" s="270"/>
      <c r="G255" s="271"/>
      <c r="H255" s="251"/>
      <c r="I255" s="251"/>
      <c r="J255" s="270"/>
      <c r="K255" s="272"/>
      <c r="L255" s="273"/>
      <c r="M255" s="274"/>
      <c r="N255" s="275"/>
      <c r="O255" s="276"/>
      <c r="P255" s="276"/>
      <c r="Q255" s="277"/>
      <c r="R255" s="37">
        <f>SUM(E255:P255)</f>
        <v>0</v>
      </c>
    </row>
    <row r="256" spans="1:18" ht="13.5" customHeight="1">
      <c r="A256" s="245">
        <v>3</v>
      </c>
      <c r="B256" s="22" t="s">
        <v>2</v>
      </c>
      <c r="C256" s="17"/>
      <c r="D256" s="270"/>
      <c r="E256" s="255"/>
      <c r="F256" s="270"/>
      <c r="G256" s="271"/>
      <c r="H256" s="251"/>
      <c r="I256" s="251"/>
      <c r="J256" s="270"/>
      <c r="K256" s="272"/>
      <c r="L256" s="273"/>
      <c r="M256" s="274"/>
      <c r="N256" s="275"/>
      <c r="O256" s="276"/>
      <c r="P256" s="276"/>
      <c r="Q256" s="277"/>
      <c r="R256" s="37">
        <f>SUM(E256:P256)</f>
        <v>0</v>
      </c>
    </row>
    <row r="257" spans="1:18" ht="13.5" customHeight="1">
      <c r="A257" s="245">
        <v>4</v>
      </c>
      <c r="B257" s="22" t="s">
        <v>3</v>
      </c>
      <c r="C257" s="17"/>
      <c r="D257" s="270"/>
      <c r="E257" s="255"/>
      <c r="F257" s="270"/>
      <c r="G257" s="271"/>
      <c r="H257" s="251"/>
      <c r="I257" s="251"/>
      <c r="J257" s="270"/>
      <c r="K257" s="272"/>
      <c r="L257" s="273"/>
      <c r="M257" s="274"/>
      <c r="N257" s="275"/>
      <c r="O257" s="276"/>
      <c r="P257" s="278"/>
      <c r="Q257" s="277"/>
      <c r="R257" s="37">
        <f>SUM(E257:P257)</f>
        <v>0</v>
      </c>
    </row>
    <row r="258" spans="1:18" ht="13.5" customHeight="1">
      <c r="A258" s="245">
        <v>5</v>
      </c>
      <c r="B258" s="22" t="s">
        <v>4</v>
      </c>
      <c r="C258" s="17"/>
      <c r="D258" s="270"/>
      <c r="E258" s="255"/>
      <c r="F258" s="270"/>
      <c r="G258" s="271"/>
      <c r="H258" s="251"/>
      <c r="I258" s="251"/>
      <c r="J258" s="270"/>
      <c r="K258" s="272"/>
      <c r="L258" s="273"/>
      <c r="M258" s="274"/>
      <c r="N258" s="275"/>
      <c r="O258" s="276"/>
      <c r="P258" s="278"/>
      <c r="Q258" s="277"/>
      <c r="R258" s="37">
        <f>SUM(E258:P258)</f>
        <v>0</v>
      </c>
    </row>
    <row r="259" spans="1:18" ht="13.5" customHeight="1">
      <c r="A259" s="245">
        <v>6</v>
      </c>
      <c r="B259" s="22" t="s">
        <v>5</v>
      </c>
      <c r="C259" s="17"/>
      <c r="D259" s="270"/>
      <c r="E259" s="255"/>
      <c r="F259" s="270"/>
      <c r="G259" s="271"/>
      <c r="H259" s="279"/>
      <c r="I259" s="279"/>
      <c r="J259" s="279"/>
      <c r="K259" s="273"/>
      <c r="L259" s="273"/>
      <c r="M259" s="274"/>
      <c r="N259" s="275"/>
      <c r="O259" s="276"/>
      <c r="P259" s="278"/>
      <c r="Q259" s="281"/>
      <c r="R259" s="37">
        <f>SUM(E259:P259)+Q259</f>
        <v>0</v>
      </c>
    </row>
    <row r="260" spans="1:18" ht="13.5" customHeight="1">
      <c r="A260" s="245">
        <v>7</v>
      </c>
      <c r="B260" s="22" t="s">
        <v>6</v>
      </c>
      <c r="C260" s="17"/>
      <c r="D260" s="270"/>
      <c r="E260" s="255"/>
      <c r="F260" s="270"/>
      <c r="G260" s="271"/>
      <c r="H260" s="251"/>
      <c r="I260" s="251"/>
      <c r="J260" s="279"/>
      <c r="K260" s="282"/>
      <c r="L260" s="273"/>
      <c r="M260" s="283"/>
      <c r="N260" s="273"/>
      <c r="O260" s="276"/>
      <c r="P260" s="276"/>
      <c r="Q260" s="277"/>
      <c r="R260" s="37">
        <f aca="true" t="shared" si="12" ref="R260:R289">SUM(E260:P260)</f>
        <v>0</v>
      </c>
    </row>
    <row r="261" spans="1:18" ht="13.5" customHeight="1">
      <c r="A261" s="245">
        <v>8</v>
      </c>
      <c r="B261" s="22" t="s">
        <v>7</v>
      </c>
      <c r="C261" s="17"/>
      <c r="D261" s="270"/>
      <c r="E261" s="255"/>
      <c r="F261" s="280"/>
      <c r="G261" s="271"/>
      <c r="H261" s="251"/>
      <c r="I261" s="251"/>
      <c r="J261" s="279"/>
      <c r="K261" s="282"/>
      <c r="L261" s="273"/>
      <c r="M261" s="283"/>
      <c r="N261" s="273"/>
      <c r="O261" s="276"/>
      <c r="P261" s="276"/>
      <c r="Q261" s="277"/>
      <c r="R261" s="37">
        <f t="shared" si="12"/>
        <v>0</v>
      </c>
    </row>
    <row r="262" spans="1:18" ht="13.5" customHeight="1">
      <c r="A262" s="245">
        <v>9</v>
      </c>
      <c r="B262" s="22" t="s">
        <v>8</v>
      </c>
      <c r="C262" s="17"/>
      <c r="D262" s="270"/>
      <c r="E262" s="255"/>
      <c r="F262" s="270"/>
      <c r="G262" s="271"/>
      <c r="H262" s="251"/>
      <c r="I262" s="251"/>
      <c r="J262" s="279"/>
      <c r="K262" s="282"/>
      <c r="L262" s="273"/>
      <c r="M262" s="283"/>
      <c r="N262" s="273"/>
      <c r="O262" s="276"/>
      <c r="P262" s="276"/>
      <c r="Q262" s="277"/>
      <c r="R262" s="37">
        <f t="shared" si="12"/>
        <v>0</v>
      </c>
    </row>
    <row r="263" spans="1:18" ht="13.5" customHeight="1">
      <c r="A263" s="245">
        <v>10</v>
      </c>
      <c r="B263" s="22" t="s">
        <v>9</v>
      </c>
      <c r="C263" s="17"/>
      <c r="D263" s="270"/>
      <c r="E263" s="255"/>
      <c r="F263" s="270"/>
      <c r="G263" s="271"/>
      <c r="H263" s="251"/>
      <c r="I263" s="251"/>
      <c r="J263" s="279"/>
      <c r="K263" s="282"/>
      <c r="L263" s="273"/>
      <c r="M263" s="283"/>
      <c r="N263" s="273"/>
      <c r="O263" s="276"/>
      <c r="P263" s="278"/>
      <c r="Q263" s="277"/>
      <c r="R263" s="37">
        <f t="shared" si="12"/>
        <v>0</v>
      </c>
    </row>
    <row r="264" spans="1:18" ht="13.5" customHeight="1">
      <c r="A264" s="245">
        <v>11</v>
      </c>
      <c r="B264" s="22" t="s">
        <v>10</v>
      </c>
      <c r="C264" s="17"/>
      <c r="D264" s="270"/>
      <c r="E264" s="255"/>
      <c r="F264" s="270"/>
      <c r="G264" s="271"/>
      <c r="H264" s="251"/>
      <c r="I264" s="251"/>
      <c r="J264" s="279"/>
      <c r="K264" s="273"/>
      <c r="L264" s="273"/>
      <c r="M264" s="283"/>
      <c r="N264" s="273"/>
      <c r="O264" s="276"/>
      <c r="P264" s="278"/>
      <c r="Q264" s="277"/>
      <c r="R264" s="37">
        <f t="shared" si="12"/>
        <v>0</v>
      </c>
    </row>
    <row r="265" spans="1:18" ht="13.5" customHeight="1">
      <c r="A265" s="245">
        <v>12</v>
      </c>
      <c r="B265" s="22" t="s">
        <v>11</v>
      </c>
      <c r="C265" s="17"/>
      <c r="D265" s="270"/>
      <c r="E265" s="255"/>
      <c r="F265" s="270"/>
      <c r="G265" s="271"/>
      <c r="H265" s="251"/>
      <c r="I265" s="251"/>
      <c r="J265" s="279"/>
      <c r="K265" s="282"/>
      <c r="L265" s="273"/>
      <c r="M265" s="274"/>
      <c r="N265" s="273"/>
      <c r="O265" s="276"/>
      <c r="P265" s="278"/>
      <c r="Q265" s="277"/>
      <c r="R265" s="37">
        <f t="shared" si="12"/>
        <v>0</v>
      </c>
    </row>
    <row r="266" spans="1:18" ht="13.5" customHeight="1">
      <c r="A266" s="245">
        <v>13</v>
      </c>
      <c r="B266" s="22" t="s">
        <v>13</v>
      </c>
      <c r="C266" s="17"/>
      <c r="D266" s="270"/>
      <c r="E266" s="255"/>
      <c r="F266" s="270"/>
      <c r="G266" s="271"/>
      <c r="H266" s="251"/>
      <c r="I266" s="251"/>
      <c r="J266" s="279"/>
      <c r="K266" s="282"/>
      <c r="L266" s="273"/>
      <c r="M266" s="283"/>
      <c r="N266" s="273"/>
      <c r="O266" s="276"/>
      <c r="P266" s="276"/>
      <c r="Q266" s="277"/>
      <c r="R266" s="37">
        <f t="shared" si="12"/>
        <v>0</v>
      </c>
    </row>
    <row r="267" spans="1:18" ht="13.5" customHeight="1">
      <c r="A267" s="245">
        <v>14</v>
      </c>
      <c r="B267" s="22" t="s">
        <v>14</v>
      </c>
      <c r="C267" s="17"/>
      <c r="D267" s="270"/>
      <c r="E267" s="255"/>
      <c r="F267" s="270"/>
      <c r="G267" s="271"/>
      <c r="H267" s="251"/>
      <c r="I267" s="251"/>
      <c r="J267" s="279"/>
      <c r="K267" s="282"/>
      <c r="L267" s="273"/>
      <c r="M267" s="283"/>
      <c r="N267" s="273"/>
      <c r="O267" s="276"/>
      <c r="P267" s="276"/>
      <c r="Q267" s="277"/>
      <c r="R267" s="37">
        <f t="shared" si="12"/>
        <v>0</v>
      </c>
    </row>
    <row r="268" spans="1:18" ht="13.5" customHeight="1">
      <c r="A268" s="245">
        <v>15</v>
      </c>
      <c r="B268" s="22" t="s">
        <v>15</v>
      </c>
      <c r="C268" s="17"/>
      <c r="D268" s="270"/>
      <c r="E268" s="255"/>
      <c r="F268" s="270"/>
      <c r="G268" s="271"/>
      <c r="H268" s="251"/>
      <c r="I268" s="251"/>
      <c r="J268" s="279"/>
      <c r="K268" s="282"/>
      <c r="L268" s="273"/>
      <c r="M268" s="283"/>
      <c r="N268" s="273"/>
      <c r="O268" s="276"/>
      <c r="P268" s="276"/>
      <c r="Q268" s="277"/>
      <c r="R268" s="37">
        <f t="shared" si="12"/>
        <v>0</v>
      </c>
    </row>
    <row r="269" spans="1:18" ht="13.5" customHeight="1">
      <c r="A269" s="245">
        <v>16</v>
      </c>
      <c r="B269" s="22" t="s">
        <v>16</v>
      </c>
      <c r="C269" s="17"/>
      <c r="D269" s="270"/>
      <c r="E269" s="255"/>
      <c r="F269" s="270"/>
      <c r="G269" s="271"/>
      <c r="H269" s="251"/>
      <c r="I269" s="251"/>
      <c r="J269" s="279"/>
      <c r="K269" s="282"/>
      <c r="L269" s="273"/>
      <c r="M269" s="283"/>
      <c r="N269" s="273"/>
      <c r="O269" s="276"/>
      <c r="P269" s="276"/>
      <c r="Q269" s="277"/>
      <c r="R269" s="37">
        <f t="shared" si="12"/>
        <v>0</v>
      </c>
    </row>
    <row r="270" spans="1:18" ht="13.5" customHeight="1">
      <c r="A270" s="245">
        <v>17</v>
      </c>
      <c r="B270" s="22" t="s">
        <v>17</v>
      </c>
      <c r="C270" s="17"/>
      <c r="D270" s="270"/>
      <c r="E270" s="255"/>
      <c r="F270" s="270"/>
      <c r="G270" s="271"/>
      <c r="H270" s="251"/>
      <c r="I270" s="251"/>
      <c r="J270" s="279"/>
      <c r="K270" s="282"/>
      <c r="L270" s="273"/>
      <c r="M270" s="283"/>
      <c r="N270" s="273"/>
      <c r="O270" s="276"/>
      <c r="P270" s="276"/>
      <c r="Q270" s="277"/>
      <c r="R270" s="37">
        <f t="shared" si="12"/>
        <v>0</v>
      </c>
    </row>
    <row r="271" spans="1:18" ht="13.5" customHeight="1">
      <c r="A271" s="245">
        <v>18</v>
      </c>
      <c r="B271" s="22" t="s">
        <v>18</v>
      </c>
      <c r="C271" s="17"/>
      <c r="D271" s="270"/>
      <c r="E271" s="255"/>
      <c r="F271" s="270"/>
      <c r="G271" s="271"/>
      <c r="H271" s="251"/>
      <c r="I271" s="251"/>
      <c r="J271" s="279"/>
      <c r="K271" s="273"/>
      <c r="L271" s="273"/>
      <c r="M271" s="274"/>
      <c r="N271" s="273"/>
      <c r="O271" s="276"/>
      <c r="P271" s="276"/>
      <c r="Q271" s="277"/>
      <c r="R271" s="37">
        <f t="shared" si="12"/>
        <v>0</v>
      </c>
    </row>
    <row r="272" spans="1:18" ht="13.5" customHeight="1">
      <c r="A272" s="245">
        <v>19</v>
      </c>
      <c r="B272" s="22" t="s">
        <v>19</v>
      </c>
      <c r="C272" s="17"/>
      <c r="D272" s="270"/>
      <c r="E272" s="255"/>
      <c r="F272" s="270"/>
      <c r="G272" s="271"/>
      <c r="H272" s="251"/>
      <c r="I272" s="251"/>
      <c r="J272" s="279"/>
      <c r="K272" s="272"/>
      <c r="L272" s="273"/>
      <c r="M272" s="283"/>
      <c r="N272" s="273"/>
      <c r="O272" s="276"/>
      <c r="P272" s="276"/>
      <c r="Q272" s="277"/>
      <c r="R272" s="37">
        <f t="shared" si="12"/>
        <v>0</v>
      </c>
    </row>
    <row r="273" spans="1:18" ht="13.5" customHeight="1">
      <c r="A273" s="245">
        <v>20</v>
      </c>
      <c r="B273" s="22" t="s">
        <v>20</v>
      </c>
      <c r="C273" s="58"/>
      <c r="D273" s="271"/>
      <c r="E273" s="255"/>
      <c r="F273" s="270"/>
      <c r="G273" s="271"/>
      <c r="H273" s="251"/>
      <c r="I273" s="251"/>
      <c r="J273" s="279"/>
      <c r="K273" s="272"/>
      <c r="L273" s="273"/>
      <c r="M273" s="283"/>
      <c r="N273" s="273"/>
      <c r="O273" s="276"/>
      <c r="P273" s="276"/>
      <c r="Q273" s="277"/>
      <c r="R273" s="37">
        <f t="shared" si="12"/>
        <v>0</v>
      </c>
    </row>
    <row r="274" spans="1:18" ht="13.5" customHeight="1">
      <c r="A274" s="245">
        <v>21</v>
      </c>
      <c r="B274" s="22" t="s">
        <v>21</v>
      </c>
      <c r="C274" s="58"/>
      <c r="D274" s="284"/>
      <c r="E274" s="255"/>
      <c r="F274" s="270"/>
      <c r="G274" s="271"/>
      <c r="H274" s="251"/>
      <c r="I274" s="251"/>
      <c r="J274" s="279"/>
      <c r="K274" s="273"/>
      <c r="L274" s="273"/>
      <c r="M274" s="283"/>
      <c r="N274" s="273"/>
      <c r="O274" s="276"/>
      <c r="P274" s="276"/>
      <c r="Q274" s="277"/>
      <c r="R274" s="37">
        <f t="shared" si="12"/>
        <v>0</v>
      </c>
    </row>
    <row r="275" spans="1:18" ht="13.5" customHeight="1">
      <c r="A275" s="245">
        <v>22</v>
      </c>
      <c r="B275" s="22" t="s">
        <v>22</v>
      </c>
      <c r="C275" s="58"/>
      <c r="D275" s="284"/>
      <c r="E275" s="255"/>
      <c r="F275" s="270"/>
      <c r="G275" s="271"/>
      <c r="H275" s="251"/>
      <c r="I275" s="251"/>
      <c r="J275" s="279"/>
      <c r="K275" s="272"/>
      <c r="L275" s="273"/>
      <c r="M275" s="283"/>
      <c r="N275" s="273"/>
      <c r="O275" s="276"/>
      <c r="P275" s="276"/>
      <c r="Q275" s="277"/>
      <c r="R275" s="37">
        <f t="shared" si="12"/>
        <v>0</v>
      </c>
    </row>
    <row r="276" spans="1:18" ht="13.5" customHeight="1">
      <c r="A276" s="245">
        <v>23</v>
      </c>
      <c r="B276" s="22" t="s">
        <v>23</v>
      </c>
      <c r="C276" s="58"/>
      <c r="D276" s="284"/>
      <c r="E276" s="255"/>
      <c r="F276" s="270"/>
      <c r="G276" s="271"/>
      <c r="H276" s="251"/>
      <c r="I276" s="251"/>
      <c r="J276" s="279"/>
      <c r="K276" s="272"/>
      <c r="L276" s="273"/>
      <c r="M276" s="283"/>
      <c r="N276" s="273"/>
      <c r="O276" s="276"/>
      <c r="P276" s="276"/>
      <c r="Q276" s="277"/>
      <c r="R276" s="37">
        <f t="shared" si="12"/>
        <v>0</v>
      </c>
    </row>
    <row r="277" spans="1:18" ht="13.5" customHeight="1">
      <c r="A277" s="245">
        <v>24</v>
      </c>
      <c r="B277" s="22" t="s">
        <v>24</v>
      </c>
      <c r="C277" s="58"/>
      <c r="D277" s="284"/>
      <c r="E277" s="255"/>
      <c r="F277" s="270"/>
      <c r="G277" s="271"/>
      <c r="H277" s="251"/>
      <c r="I277" s="251"/>
      <c r="J277" s="279"/>
      <c r="K277" s="272"/>
      <c r="L277" s="273"/>
      <c r="M277" s="282"/>
      <c r="N277" s="273"/>
      <c r="O277" s="276"/>
      <c r="P277" s="276"/>
      <c r="Q277" s="277"/>
      <c r="R277" s="37">
        <f t="shared" si="12"/>
        <v>0</v>
      </c>
    </row>
    <row r="278" spans="1:18" ht="13.5" customHeight="1">
      <c r="A278" s="245">
        <v>25</v>
      </c>
      <c r="B278" s="22" t="s">
        <v>25</v>
      </c>
      <c r="C278" s="58"/>
      <c r="D278" s="284"/>
      <c r="E278" s="255"/>
      <c r="F278" s="270"/>
      <c r="G278" s="271"/>
      <c r="H278" s="285"/>
      <c r="I278" s="286"/>
      <c r="J278" s="270"/>
      <c r="K278" s="272"/>
      <c r="L278" s="273"/>
      <c r="M278" s="272"/>
      <c r="N278" s="273"/>
      <c r="O278" s="276"/>
      <c r="P278" s="276"/>
      <c r="Q278" s="277"/>
      <c r="R278" s="37">
        <f t="shared" si="12"/>
        <v>0</v>
      </c>
    </row>
    <row r="279" spans="1:18" ht="13.5" customHeight="1">
      <c r="A279" s="245">
        <v>26</v>
      </c>
      <c r="B279" s="22" t="s">
        <v>26</v>
      </c>
      <c r="C279" s="58"/>
      <c r="D279" s="284"/>
      <c r="E279" s="255"/>
      <c r="F279" s="270"/>
      <c r="G279" s="271"/>
      <c r="H279" s="286"/>
      <c r="I279" s="286"/>
      <c r="J279" s="270"/>
      <c r="K279" s="272"/>
      <c r="L279" s="273"/>
      <c r="M279" s="272"/>
      <c r="N279" s="273"/>
      <c r="O279" s="276"/>
      <c r="P279" s="276"/>
      <c r="Q279" s="277"/>
      <c r="R279" s="37">
        <f t="shared" si="12"/>
        <v>0</v>
      </c>
    </row>
    <row r="280" spans="1:18" ht="13.5" customHeight="1">
      <c r="A280" s="245">
        <v>27</v>
      </c>
      <c r="B280" s="22" t="s">
        <v>27</v>
      </c>
      <c r="C280" s="58"/>
      <c r="D280" s="284"/>
      <c r="E280" s="255"/>
      <c r="F280" s="270"/>
      <c r="G280" s="271"/>
      <c r="H280" s="286"/>
      <c r="I280" s="286"/>
      <c r="J280" s="270"/>
      <c r="K280" s="272"/>
      <c r="L280" s="273"/>
      <c r="M280" s="272"/>
      <c r="N280" s="273"/>
      <c r="O280" s="276"/>
      <c r="P280" s="276"/>
      <c r="Q280" s="277"/>
      <c r="R280" s="37">
        <f t="shared" si="12"/>
        <v>0</v>
      </c>
    </row>
    <row r="281" spans="1:18" ht="13.5" customHeight="1">
      <c r="A281" s="245">
        <v>28</v>
      </c>
      <c r="B281" s="22" t="s">
        <v>28</v>
      </c>
      <c r="C281" s="58"/>
      <c r="D281" s="284"/>
      <c r="E281" s="255"/>
      <c r="F281" s="270"/>
      <c r="G281" s="271"/>
      <c r="H281" s="286"/>
      <c r="I281" s="286"/>
      <c r="J281" s="270"/>
      <c r="K281" s="272"/>
      <c r="L281" s="273"/>
      <c r="M281" s="272"/>
      <c r="N281" s="273"/>
      <c r="O281" s="276"/>
      <c r="P281" s="276"/>
      <c r="Q281" s="277"/>
      <c r="R281" s="37">
        <f t="shared" si="12"/>
        <v>0</v>
      </c>
    </row>
    <row r="282" spans="1:18" ht="13.5" customHeight="1">
      <c r="A282" s="245">
        <v>29</v>
      </c>
      <c r="B282" s="22" t="s">
        <v>29</v>
      </c>
      <c r="C282" s="58"/>
      <c r="D282" s="284"/>
      <c r="E282" s="255"/>
      <c r="F282" s="270"/>
      <c r="G282" s="271"/>
      <c r="H282" s="286"/>
      <c r="I282" s="286"/>
      <c r="J282" s="270"/>
      <c r="K282" s="272"/>
      <c r="L282" s="273"/>
      <c r="M282" s="272"/>
      <c r="N282" s="273"/>
      <c r="O282" s="276"/>
      <c r="P282" s="276"/>
      <c r="Q282" s="277"/>
      <c r="R282" s="37">
        <f t="shared" si="12"/>
        <v>0</v>
      </c>
    </row>
    <row r="283" spans="1:18" ht="13.5" customHeight="1">
      <c r="A283" s="245">
        <v>30</v>
      </c>
      <c r="B283" s="22" t="s">
        <v>30</v>
      </c>
      <c r="C283" s="58"/>
      <c r="D283" s="284"/>
      <c r="E283" s="255"/>
      <c r="F283" s="270"/>
      <c r="G283" s="271"/>
      <c r="H283" s="286"/>
      <c r="I283" s="286"/>
      <c r="J283" s="270"/>
      <c r="K283" s="272"/>
      <c r="L283" s="273"/>
      <c r="M283" s="272"/>
      <c r="N283" s="273"/>
      <c r="O283" s="276"/>
      <c r="P283" s="276"/>
      <c r="Q283" s="277"/>
      <c r="R283" s="37">
        <f t="shared" si="12"/>
        <v>0</v>
      </c>
    </row>
    <row r="284" spans="1:18" ht="13.5" customHeight="1">
      <c r="A284" s="245">
        <v>31</v>
      </c>
      <c r="B284" s="22" t="s">
        <v>31</v>
      </c>
      <c r="C284" s="58"/>
      <c r="D284" s="284"/>
      <c r="E284" s="255"/>
      <c r="F284" s="270"/>
      <c r="G284" s="271"/>
      <c r="H284" s="251"/>
      <c r="I284" s="270"/>
      <c r="J284" s="270"/>
      <c r="K284" s="272"/>
      <c r="L284" s="273"/>
      <c r="M284" s="282"/>
      <c r="N284" s="273"/>
      <c r="O284" s="276"/>
      <c r="P284" s="276"/>
      <c r="Q284" s="277"/>
      <c r="R284" s="37">
        <f t="shared" si="12"/>
        <v>0</v>
      </c>
    </row>
    <row r="285" spans="1:18" ht="13.5" customHeight="1">
      <c r="A285" s="245">
        <v>32</v>
      </c>
      <c r="B285" s="22" t="s">
        <v>32</v>
      </c>
      <c r="C285" s="58"/>
      <c r="D285" s="284"/>
      <c r="E285" s="255"/>
      <c r="F285" s="270"/>
      <c r="G285" s="271"/>
      <c r="H285" s="270"/>
      <c r="I285" s="270"/>
      <c r="J285" s="270"/>
      <c r="K285" s="272"/>
      <c r="L285" s="273"/>
      <c r="M285" s="272"/>
      <c r="N285" s="273"/>
      <c r="O285" s="276"/>
      <c r="P285" s="276"/>
      <c r="Q285" s="277"/>
      <c r="R285" s="37">
        <f t="shared" si="12"/>
        <v>0</v>
      </c>
    </row>
    <row r="286" spans="1:18" ht="13.5" customHeight="1">
      <c r="A286" s="245">
        <v>33</v>
      </c>
      <c r="B286" s="23" t="s">
        <v>33</v>
      </c>
      <c r="C286" s="58"/>
      <c r="D286" s="284"/>
      <c r="E286" s="255"/>
      <c r="F286" s="287"/>
      <c r="G286" s="271"/>
      <c r="H286" s="287"/>
      <c r="I286" s="287"/>
      <c r="J286" s="287"/>
      <c r="K286" s="272"/>
      <c r="L286" s="273"/>
      <c r="M286" s="272"/>
      <c r="N286" s="273"/>
      <c r="O286" s="276"/>
      <c r="P286" s="276"/>
      <c r="Q286" s="277"/>
      <c r="R286" s="37">
        <f t="shared" si="12"/>
        <v>0</v>
      </c>
    </row>
    <row r="287" spans="1:18" ht="13.5" customHeight="1">
      <c r="A287" s="245">
        <v>34</v>
      </c>
      <c r="B287" s="23" t="s">
        <v>34</v>
      </c>
      <c r="C287" s="58"/>
      <c r="D287" s="284"/>
      <c r="E287" s="255"/>
      <c r="F287" s="287"/>
      <c r="G287" s="271"/>
      <c r="H287" s="287"/>
      <c r="I287" s="287"/>
      <c r="J287" s="287"/>
      <c r="K287" s="272"/>
      <c r="L287" s="273"/>
      <c r="M287" s="272"/>
      <c r="N287" s="273"/>
      <c r="O287" s="276"/>
      <c r="P287" s="276"/>
      <c r="Q287" s="277"/>
      <c r="R287" s="37">
        <f t="shared" si="12"/>
        <v>0</v>
      </c>
    </row>
    <row r="288" spans="1:18" ht="13.5" customHeight="1">
      <c r="A288" s="245">
        <v>35</v>
      </c>
      <c r="B288" s="23" t="s">
        <v>37</v>
      </c>
      <c r="C288" s="58"/>
      <c r="D288" s="284"/>
      <c r="E288" s="285"/>
      <c r="F288" s="287"/>
      <c r="G288" s="271"/>
      <c r="H288" s="287"/>
      <c r="I288" s="287"/>
      <c r="J288" s="288"/>
      <c r="K288" s="272"/>
      <c r="L288" s="273"/>
      <c r="M288" s="288"/>
      <c r="N288" s="273"/>
      <c r="O288" s="276"/>
      <c r="P288" s="276"/>
      <c r="Q288" s="277"/>
      <c r="R288" s="37">
        <f t="shared" si="12"/>
        <v>0</v>
      </c>
    </row>
    <row r="289" spans="1:18" ht="13.5" customHeight="1" thickBot="1">
      <c r="A289" s="245">
        <v>36</v>
      </c>
      <c r="B289" s="24" t="s">
        <v>38</v>
      </c>
      <c r="C289" s="78"/>
      <c r="D289" s="289"/>
      <c r="E289" s="290"/>
      <c r="F289" s="291"/>
      <c r="G289" s="292"/>
      <c r="H289" s="273"/>
      <c r="I289" s="291"/>
      <c r="J289" s="293"/>
      <c r="K289" s="294"/>
      <c r="L289" s="295"/>
      <c r="M289" s="293"/>
      <c r="N289" s="294"/>
      <c r="O289" s="296"/>
      <c r="P289" s="296"/>
      <c r="Q289" s="297"/>
      <c r="R289" s="37">
        <f t="shared" si="12"/>
        <v>0</v>
      </c>
    </row>
    <row r="290" spans="2:18" ht="13.5" customHeight="1" thickBot="1">
      <c r="B290" s="32" t="s">
        <v>12</v>
      </c>
      <c r="C290" s="115">
        <f>SUM(C273:C289)</f>
        <v>0</v>
      </c>
      <c r="D290" s="115">
        <f>SUM(D273:D289)</f>
        <v>0</v>
      </c>
      <c r="E290" s="298">
        <f>SUM(E254:E288)+E289</f>
        <v>0</v>
      </c>
      <c r="F290" s="176">
        <f aca="true" t="shared" si="13" ref="F290:K290">SUM(F254:F288)</f>
        <v>0</v>
      </c>
      <c r="G290" s="176">
        <f t="shared" si="13"/>
        <v>0</v>
      </c>
      <c r="H290" s="176">
        <f>SUM(H254:H288)+H289</f>
        <v>0</v>
      </c>
      <c r="I290" s="176">
        <f t="shared" si="13"/>
        <v>0</v>
      </c>
      <c r="J290" s="176">
        <f t="shared" si="13"/>
        <v>0</v>
      </c>
      <c r="K290" s="176">
        <f t="shared" si="13"/>
        <v>0</v>
      </c>
      <c r="L290" s="176">
        <f>SUM(L254:L288)+L289</f>
        <v>0</v>
      </c>
      <c r="M290" s="176">
        <f>SUM(M254:M288)</f>
        <v>0</v>
      </c>
      <c r="N290" s="185">
        <f>SUM(N254:N288)</f>
        <v>0</v>
      </c>
      <c r="O290" s="185">
        <f>SUM(O254:O288)</f>
        <v>0</v>
      </c>
      <c r="P290" s="185">
        <f>SUM(P254:P288)</f>
        <v>0</v>
      </c>
      <c r="Q290" s="186">
        <f>SUM(Q254:Q288)</f>
        <v>0</v>
      </c>
      <c r="R290" s="129">
        <f>SUM(R254:R288)+R289</f>
        <v>0</v>
      </c>
    </row>
    <row r="291" spans="2:18" ht="13.5" customHeight="1" thickBot="1">
      <c r="B291" s="80"/>
      <c r="C291" s="122">
        <v>2110</v>
      </c>
      <c r="D291" s="122">
        <v>2111</v>
      </c>
      <c r="E291" s="233">
        <v>2210</v>
      </c>
      <c r="F291" s="181">
        <v>2220</v>
      </c>
      <c r="G291" s="181">
        <v>2230</v>
      </c>
      <c r="H291" s="181">
        <v>2240</v>
      </c>
      <c r="I291" s="181">
        <v>2800</v>
      </c>
      <c r="J291" s="181">
        <v>2250</v>
      </c>
      <c r="K291" s="182">
        <v>2272</v>
      </c>
      <c r="L291" s="182">
        <v>2273</v>
      </c>
      <c r="M291" s="181">
        <v>2274</v>
      </c>
      <c r="N291" s="181">
        <v>2275</v>
      </c>
      <c r="O291" s="181">
        <v>3110</v>
      </c>
      <c r="P291" s="182">
        <v>2282</v>
      </c>
      <c r="Q291" s="183">
        <v>2730</v>
      </c>
      <c r="R291" s="129">
        <f>E290+F290+G290+H290+K290+L290+M290+N290+O290+P290+Q290+J290+I290</f>
        <v>0</v>
      </c>
    </row>
    <row r="292" spans="2:18" ht="13.5" customHeight="1" thickBot="1">
      <c r="B292" s="63"/>
      <c r="C292" s="63"/>
      <c r="D292" s="63"/>
      <c r="E292" s="187"/>
      <c r="F292" s="187"/>
      <c r="G292" s="187"/>
      <c r="H292" s="187"/>
      <c r="I292" s="187"/>
      <c r="J292" s="187"/>
      <c r="K292" s="188"/>
      <c r="L292" s="188"/>
      <c r="M292" s="187"/>
      <c r="N292" s="189"/>
      <c r="O292" s="188"/>
      <c r="P292" s="190"/>
      <c r="Q292" s="190"/>
      <c r="R292" s="234">
        <f>E292+F292+G292+H292+I292+J292+K292+L292+M292+N292+O292+P292+Q292</f>
        <v>0</v>
      </c>
    </row>
    <row r="293" spans="2:18" ht="13.5" customHeight="1">
      <c r="B293" s="88"/>
      <c r="C293" s="88"/>
      <c r="D293" s="88"/>
      <c r="E293" s="324"/>
      <c r="F293" s="88"/>
      <c r="G293" s="88"/>
      <c r="H293" s="326"/>
      <c r="I293" s="88"/>
      <c r="J293" s="88"/>
      <c r="K293" s="88"/>
      <c r="L293" s="88"/>
      <c r="M293" s="88"/>
      <c r="N293" s="88"/>
      <c r="O293" s="88"/>
      <c r="P293" s="88"/>
      <c r="Q293" s="88"/>
      <c r="R293" s="88"/>
    </row>
    <row r="294" spans="2:18" ht="13.5" customHeight="1"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</row>
    <row r="295" spans="2:18" ht="13.5" customHeight="1">
      <c r="B295" s="64"/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</row>
    <row r="296" spans="2:18" ht="13.5" customHeight="1" thickBot="1">
      <c r="B296" s="435" t="s">
        <v>49</v>
      </c>
      <c r="C296" s="435"/>
      <c r="D296" s="435"/>
      <c r="E296" s="435"/>
      <c r="F296" s="435"/>
      <c r="G296" s="435"/>
      <c r="H296" s="435"/>
      <c r="I296" s="435"/>
      <c r="J296" s="435"/>
      <c r="K296" s="435"/>
      <c r="L296" s="435"/>
      <c r="M296" s="435"/>
      <c r="N296" s="435"/>
      <c r="O296" s="435"/>
      <c r="P296" s="435"/>
      <c r="Q296" s="435"/>
      <c r="R296" s="435"/>
    </row>
    <row r="297" spans="2:18" ht="13.5" customHeight="1" thickBot="1">
      <c r="B297" s="18" t="s">
        <v>36</v>
      </c>
      <c r="C297" s="211">
        <v>2110</v>
      </c>
      <c r="D297" s="211">
        <v>2111</v>
      </c>
      <c r="E297" s="207">
        <v>2210</v>
      </c>
      <c r="F297" s="120">
        <v>2220</v>
      </c>
      <c r="G297" s="120">
        <v>2230</v>
      </c>
      <c r="H297" s="120">
        <v>2240</v>
      </c>
      <c r="I297" s="120">
        <v>2800</v>
      </c>
      <c r="J297" s="120">
        <v>2250</v>
      </c>
      <c r="K297" s="15">
        <v>2272</v>
      </c>
      <c r="L297" s="15">
        <v>2273</v>
      </c>
      <c r="M297" s="121">
        <v>2274</v>
      </c>
      <c r="N297" s="121">
        <v>2275</v>
      </c>
      <c r="O297" s="121">
        <v>3110</v>
      </c>
      <c r="P297" s="15">
        <v>2282</v>
      </c>
      <c r="Q297" s="210">
        <v>2730</v>
      </c>
      <c r="R297" s="226" t="s">
        <v>35</v>
      </c>
    </row>
    <row r="298" spans="2:18" ht="13.5" customHeight="1">
      <c r="B298" s="21" t="s">
        <v>0</v>
      </c>
      <c r="C298" s="43"/>
      <c r="D298" s="44"/>
      <c r="E298" s="105"/>
      <c r="F298" s="94"/>
      <c r="G298" s="92"/>
      <c r="H298" s="92"/>
      <c r="I298" s="92"/>
      <c r="J298" s="94"/>
      <c r="K298" s="46"/>
      <c r="L298" s="28"/>
      <c r="M298" s="46"/>
      <c r="N298" s="28"/>
      <c r="O298" s="132"/>
      <c r="P298" s="132"/>
      <c r="Q298" s="254"/>
      <c r="R298" s="31">
        <f>SUM(C298:Q298)</f>
        <v>0</v>
      </c>
    </row>
    <row r="299" spans="2:18" ht="13.5" customHeight="1">
      <c r="B299" s="22" t="s">
        <v>1</v>
      </c>
      <c r="C299" s="17"/>
      <c r="D299" s="3"/>
      <c r="E299" s="106"/>
      <c r="F299" s="98"/>
      <c r="G299" s="95"/>
      <c r="H299" s="97"/>
      <c r="I299" s="97"/>
      <c r="J299" s="152"/>
      <c r="K299" s="4"/>
      <c r="L299" s="29"/>
      <c r="M299" s="34"/>
      <c r="N299" s="29"/>
      <c r="O299" s="133"/>
      <c r="P299" s="133"/>
      <c r="Q299" s="90"/>
      <c r="R299" s="37">
        <f>SUM(C299:Q299)</f>
        <v>0</v>
      </c>
    </row>
    <row r="300" spans="2:18" ht="13.5" customHeight="1">
      <c r="B300" s="22" t="s">
        <v>2</v>
      </c>
      <c r="C300" s="17"/>
      <c r="D300" s="3"/>
      <c r="E300" s="106"/>
      <c r="F300" s="98"/>
      <c r="G300" s="95"/>
      <c r="H300" s="97"/>
      <c r="I300" s="97"/>
      <c r="J300" s="95"/>
      <c r="K300" s="4"/>
      <c r="L300" s="29"/>
      <c r="M300" s="34"/>
      <c r="N300" s="29"/>
      <c r="O300" s="133"/>
      <c r="P300" s="133"/>
      <c r="Q300" s="90"/>
      <c r="R300" s="37">
        <f aca="true" t="shared" si="14" ref="R300:R333">SUM(C300:Q300)</f>
        <v>0</v>
      </c>
    </row>
    <row r="301" spans="2:18" ht="13.5" customHeight="1">
      <c r="B301" s="22" t="s">
        <v>3</v>
      </c>
      <c r="C301" s="17"/>
      <c r="D301" s="3"/>
      <c r="E301" s="106"/>
      <c r="F301" s="98"/>
      <c r="G301" s="95"/>
      <c r="H301" s="97"/>
      <c r="I301" s="97"/>
      <c r="J301" s="98"/>
      <c r="K301" s="4"/>
      <c r="L301" s="29"/>
      <c r="M301" s="34"/>
      <c r="N301" s="29"/>
      <c r="O301" s="133"/>
      <c r="P301" s="133"/>
      <c r="Q301" s="90"/>
      <c r="R301" s="37">
        <f t="shared" si="14"/>
        <v>0</v>
      </c>
    </row>
    <row r="302" spans="2:18" ht="13.5" customHeight="1">
      <c r="B302" s="22" t="s">
        <v>4</v>
      </c>
      <c r="C302" s="17"/>
      <c r="D302" s="3"/>
      <c r="E302" s="106"/>
      <c r="F302" s="98"/>
      <c r="G302" s="95"/>
      <c r="H302" s="97"/>
      <c r="I302" s="97"/>
      <c r="J302" s="99"/>
      <c r="K302" s="4"/>
      <c r="L302" s="29"/>
      <c r="M302" s="34"/>
      <c r="N302" s="29"/>
      <c r="O302" s="133"/>
      <c r="P302" s="133"/>
      <c r="Q302" s="90"/>
      <c r="R302" s="37">
        <f t="shared" si="14"/>
        <v>0</v>
      </c>
    </row>
    <row r="303" spans="2:18" ht="13.5" customHeight="1">
      <c r="B303" s="22" t="s">
        <v>5</v>
      </c>
      <c r="C303" s="17"/>
      <c r="D303" s="3"/>
      <c r="E303" s="106"/>
      <c r="F303" s="98"/>
      <c r="G303" s="95"/>
      <c r="H303" s="95"/>
      <c r="I303" s="95"/>
      <c r="J303" s="99"/>
      <c r="K303" s="29"/>
      <c r="L303" s="29"/>
      <c r="M303" s="34"/>
      <c r="N303" s="29"/>
      <c r="O303" s="133"/>
      <c r="P303" s="133"/>
      <c r="Q303" s="90"/>
      <c r="R303" s="37">
        <f t="shared" si="14"/>
        <v>0</v>
      </c>
    </row>
    <row r="304" spans="2:18" ht="13.5" customHeight="1">
      <c r="B304" s="22" t="s">
        <v>6</v>
      </c>
      <c r="C304" s="17"/>
      <c r="D304" s="3"/>
      <c r="E304" s="106"/>
      <c r="F304" s="98"/>
      <c r="G304" s="95"/>
      <c r="H304" s="97"/>
      <c r="I304" s="97"/>
      <c r="J304" s="98"/>
      <c r="K304" s="36"/>
      <c r="L304" s="29"/>
      <c r="M304" s="35"/>
      <c r="N304" s="29"/>
      <c r="O304" s="133"/>
      <c r="P304" s="133"/>
      <c r="Q304" s="90"/>
      <c r="R304" s="37">
        <f t="shared" si="14"/>
        <v>0</v>
      </c>
    </row>
    <row r="305" spans="2:18" ht="13.5" customHeight="1">
      <c r="B305" s="22" t="s">
        <v>7</v>
      </c>
      <c r="C305" s="17"/>
      <c r="D305" s="3"/>
      <c r="E305" s="106"/>
      <c r="F305" s="99"/>
      <c r="G305" s="95"/>
      <c r="H305" s="97"/>
      <c r="I305" s="97"/>
      <c r="J305" s="98"/>
      <c r="K305" s="29"/>
      <c r="L305" s="29"/>
      <c r="M305" s="35"/>
      <c r="N305" s="36"/>
      <c r="O305" s="133"/>
      <c r="P305" s="133"/>
      <c r="Q305" s="90"/>
      <c r="R305" s="37">
        <f t="shared" si="14"/>
        <v>0</v>
      </c>
    </row>
    <row r="306" spans="2:18" ht="13.5" customHeight="1">
      <c r="B306" s="22" t="s">
        <v>8</v>
      </c>
      <c r="C306" s="17"/>
      <c r="D306" s="3"/>
      <c r="E306" s="107"/>
      <c r="F306" s="98"/>
      <c r="G306" s="95"/>
      <c r="H306" s="97"/>
      <c r="I306" s="97"/>
      <c r="J306" s="98"/>
      <c r="K306" s="29"/>
      <c r="L306" s="29"/>
      <c r="M306" s="35"/>
      <c r="N306" s="39"/>
      <c r="O306" s="133"/>
      <c r="P306" s="133"/>
      <c r="Q306" s="90"/>
      <c r="R306" s="37">
        <f t="shared" si="14"/>
        <v>0</v>
      </c>
    </row>
    <row r="307" spans="2:18" ht="13.5" customHeight="1">
      <c r="B307" s="22" t="s">
        <v>9</v>
      </c>
      <c r="C307" s="17"/>
      <c r="D307" s="3"/>
      <c r="E307" s="107"/>
      <c r="F307" s="98"/>
      <c r="G307" s="95"/>
      <c r="H307" s="97"/>
      <c r="I307" s="97"/>
      <c r="J307" s="98"/>
      <c r="K307" s="36"/>
      <c r="L307" s="29"/>
      <c r="M307" s="35"/>
      <c r="N307" s="39"/>
      <c r="O307" s="133"/>
      <c r="P307" s="133"/>
      <c r="Q307" s="90"/>
      <c r="R307" s="37">
        <f t="shared" si="14"/>
        <v>0</v>
      </c>
    </row>
    <row r="308" spans="2:18" ht="13.5" customHeight="1">
      <c r="B308" s="22" t="s">
        <v>10</v>
      </c>
      <c r="C308" s="17"/>
      <c r="D308" s="3"/>
      <c r="E308" s="107"/>
      <c r="F308" s="98"/>
      <c r="G308" s="95"/>
      <c r="H308" s="97"/>
      <c r="I308" s="97"/>
      <c r="J308" s="98"/>
      <c r="K308" s="29"/>
      <c r="L308" s="29"/>
      <c r="M308" s="35"/>
      <c r="N308" s="39"/>
      <c r="O308" s="133"/>
      <c r="P308" s="133"/>
      <c r="Q308" s="90"/>
      <c r="R308" s="37">
        <f t="shared" si="14"/>
        <v>0</v>
      </c>
    </row>
    <row r="309" spans="2:18" ht="13.5" customHeight="1">
      <c r="B309" s="22" t="s">
        <v>11</v>
      </c>
      <c r="C309" s="17"/>
      <c r="D309" s="3"/>
      <c r="E309" s="107"/>
      <c r="F309" s="98"/>
      <c r="G309" s="95"/>
      <c r="H309" s="97"/>
      <c r="I309" s="97"/>
      <c r="J309" s="98"/>
      <c r="K309" s="36"/>
      <c r="L309" s="29"/>
      <c r="M309" s="34"/>
      <c r="N309" s="327"/>
      <c r="O309" s="133"/>
      <c r="P309" s="133"/>
      <c r="Q309" s="90"/>
      <c r="R309" s="37">
        <f t="shared" si="14"/>
        <v>0</v>
      </c>
    </row>
    <row r="310" spans="2:18" ht="13.5" customHeight="1">
      <c r="B310" s="22" t="s">
        <v>13</v>
      </c>
      <c r="C310" s="17"/>
      <c r="D310" s="3"/>
      <c r="E310" s="107"/>
      <c r="F310" s="98"/>
      <c r="G310" s="95"/>
      <c r="H310" s="97"/>
      <c r="I310" s="97"/>
      <c r="J310" s="98"/>
      <c r="K310" s="36"/>
      <c r="L310" s="29"/>
      <c r="M310" s="35"/>
      <c r="N310" s="327"/>
      <c r="O310" s="133"/>
      <c r="P310" s="133"/>
      <c r="Q310" s="90"/>
      <c r="R310" s="37">
        <f t="shared" si="14"/>
        <v>0</v>
      </c>
    </row>
    <row r="311" spans="2:18" ht="13.5" customHeight="1">
      <c r="B311" s="22" t="s">
        <v>14</v>
      </c>
      <c r="C311" s="17"/>
      <c r="D311" s="3"/>
      <c r="E311" s="107"/>
      <c r="F311" s="98"/>
      <c r="G311" s="95"/>
      <c r="H311" s="97"/>
      <c r="I311" s="97"/>
      <c r="J311" s="98"/>
      <c r="K311" s="36"/>
      <c r="L311" s="29"/>
      <c r="M311" s="35"/>
      <c r="N311" s="327"/>
      <c r="O311" s="133"/>
      <c r="P311" s="133"/>
      <c r="Q311" s="90"/>
      <c r="R311" s="37">
        <f t="shared" si="14"/>
        <v>0</v>
      </c>
    </row>
    <row r="312" spans="2:18" ht="13.5" customHeight="1">
      <c r="B312" s="22" t="s">
        <v>15</v>
      </c>
      <c r="C312" s="17"/>
      <c r="D312" s="3"/>
      <c r="E312" s="107"/>
      <c r="F312" s="98"/>
      <c r="G312" s="95"/>
      <c r="H312" s="97"/>
      <c r="I312" s="97"/>
      <c r="J312" s="98"/>
      <c r="K312" s="36"/>
      <c r="L312" s="29"/>
      <c r="M312" s="35"/>
      <c r="N312" s="29"/>
      <c r="O312" s="133"/>
      <c r="P312" s="133"/>
      <c r="Q312" s="90"/>
      <c r="R312" s="37">
        <f t="shared" si="14"/>
        <v>0</v>
      </c>
    </row>
    <row r="313" spans="2:18" ht="13.5" customHeight="1">
      <c r="B313" s="22" t="s">
        <v>16</v>
      </c>
      <c r="C313" s="17"/>
      <c r="D313" s="3"/>
      <c r="E313" s="107"/>
      <c r="F313" s="98"/>
      <c r="G313" s="95"/>
      <c r="H313" s="97"/>
      <c r="I313" s="97"/>
      <c r="J313" s="98"/>
      <c r="K313" s="36"/>
      <c r="L313" s="29"/>
      <c r="M313" s="35"/>
      <c r="N313" s="39"/>
      <c r="O313" s="133"/>
      <c r="P313" s="133"/>
      <c r="Q313" s="90"/>
      <c r="R313" s="37">
        <f t="shared" si="14"/>
        <v>0</v>
      </c>
    </row>
    <row r="314" spans="2:18" ht="13.5" customHeight="1">
      <c r="B314" s="22" t="s">
        <v>17</v>
      </c>
      <c r="C314" s="17"/>
      <c r="D314" s="3"/>
      <c r="E314" s="107"/>
      <c r="F314" s="98"/>
      <c r="G314" s="95"/>
      <c r="H314" s="97"/>
      <c r="I314" s="97"/>
      <c r="J314" s="99"/>
      <c r="K314" s="36"/>
      <c r="L314" s="29"/>
      <c r="M314" s="35"/>
      <c r="N314" s="327"/>
      <c r="O314" s="133"/>
      <c r="P314" s="133"/>
      <c r="Q314" s="90"/>
      <c r="R314" s="37">
        <f t="shared" si="14"/>
        <v>0</v>
      </c>
    </row>
    <row r="315" spans="2:18" ht="13.5" customHeight="1">
      <c r="B315" s="22" t="s">
        <v>18</v>
      </c>
      <c r="C315" s="17"/>
      <c r="D315" s="3"/>
      <c r="E315" s="107"/>
      <c r="F315" s="98"/>
      <c r="G315" s="95"/>
      <c r="H315" s="97"/>
      <c r="I315" s="97"/>
      <c r="J315" s="99"/>
      <c r="K315" s="36"/>
      <c r="L315" s="29"/>
      <c r="M315" s="34"/>
      <c r="N315" s="39"/>
      <c r="O315" s="133"/>
      <c r="P315" s="133"/>
      <c r="Q315" s="90"/>
      <c r="R315" s="37">
        <f t="shared" si="14"/>
        <v>0</v>
      </c>
    </row>
    <row r="316" spans="2:18" ht="13.5" customHeight="1">
      <c r="B316" s="22" t="s">
        <v>19</v>
      </c>
      <c r="C316" s="17"/>
      <c r="D316" s="3"/>
      <c r="E316" s="107"/>
      <c r="F316" s="98"/>
      <c r="G316" s="95"/>
      <c r="H316" s="97"/>
      <c r="I316" s="97"/>
      <c r="J316" s="99"/>
      <c r="K316" s="36"/>
      <c r="L316" s="29"/>
      <c r="M316" s="35"/>
      <c r="N316" s="327"/>
      <c r="O316" s="133"/>
      <c r="P316" s="133"/>
      <c r="Q316" s="90"/>
      <c r="R316" s="37">
        <f t="shared" si="14"/>
        <v>0</v>
      </c>
    </row>
    <row r="317" spans="2:18" ht="13.5" customHeight="1">
      <c r="B317" s="22" t="s">
        <v>20</v>
      </c>
      <c r="C317" s="58"/>
      <c r="D317" s="11"/>
      <c r="E317" s="107"/>
      <c r="F317" s="98"/>
      <c r="G317" s="95"/>
      <c r="H317" s="97"/>
      <c r="I317" s="97"/>
      <c r="J317" s="98"/>
      <c r="K317" s="36"/>
      <c r="L317" s="29"/>
      <c r="M317" s="35"/>
      <c r="N317" s="29"/>
      <c r="O317" s="133"/>
      <c r="P317" s="133"/>
      <c r="Q317" s="90"/>
      <c r="R317" s="37">
        <f t="shared" si="14"/>
        <v>0</v>
      </c>
    </row>
    <row r="318" spans="2:18" ht="13.5" customHeight="1">
      <c r="B318" s="22" t="s">
        <v>21</v>
      </c>
      <c r="C318" s="58"/>
      <c r="D318" s="10"/>
      <c r="E318" s="107"/>
      <c r="F318" s="98"/>
      <c r="G318" s="95"/>
      <c r="H318" s="97"/>
      <c r="I318" s="97"/>
      <c r="J318" s="99"/>
      <c r="K318" s="36"/>
      <c r="L318" s="29"/>
      <c r="M318" s="35"/>
      <c r="N318" s="327"/>
      <c r="O318" s="133"/>
      <c r="P318" s="133"/>
      <c r="Q318" s="90"/>
      <c r="R318" s="37">
        <f t="shared" si="14"/>
        <v>0</v>
      </c>
    </row>
    <row r="319" spans="2:18" ht="13.5" customHeight="1">
      <c r="B319" s="22" t="s">
        <v>22</v>
      </c>
      <c r="C319" s="58"/>
      <c r="D319" s="10"/>
      <c r="E319" s="107"/>
      <c r="F319" s="98"/>
      <c r="G319" s="95"/>
      <c r="H319" s="97"/>
      <c r="I319" s="97"/>
      <c r="J319" s="99"/>
      <c r="K319" s="36"/>
      <c r="L319" s="29"/>
      <c r="M319" s="35"/>
      <c r="N319" s="327"/>
      <c r="O319" s="133"/>
      <c r="P319" s="133"/>
      <c r="Q319" s="90"/>
      <c r="R319" s="37">
        <f t="shared" si="14"/>
        <v>0</v>
      </c>
    </row>
    <row r="320" spans="2:18" ht="13.5" customHeight="1">
      <c r="B320" s="22" t="s">
        <v>23</v>
      </c>
      <c r="C320" s="58"/>
      <c r="D320" s="10"/>
      <c r="E320" s="107"/>
      <c r="F320" s="98"/>
      <c r="G320" s="95"/>
      <c r="H320" s="97"/>
      <c r="I320" s="97"/>
      <c r="J320" s="98"/>
      <c r="K320" s="4"/>
      <c r="L320" s="29"/>
      <c r="M320" s="35"/>
      <c r="N320" s="327"/>
      <c r="O320" s="133"/>
      <c r="P320" s="133"/>
      <c r="Q320" s="90"/>
      <c r="R320" s="37">
        <f t="shared" si="14"/>
        <v>0</v>
      </c>
    </row>
    <row r="321" spans="2:18" ht="13.5" customHeight="1">
      <c r="B321" s="22" t="s">
        <v>24</v>
      </c>
      <c r="C321" s="58"/>
      <c r="D321" s="10"/>
      <c r="E321" s="107"/>
      <c r="F321" s="98"/>
      <c r="G321" s="95"/>
      <c r="H321" s="97"/>
      <c r="I321" s="97"/>
      <c r="J321" s="99"/>
      <c r="K321" s="4"/>
      <c r="L321" s="29"/>
      <c r="M321" s="36"/>
      <c r="N321" s="327"/>
      <c r="O321" s="133"/>
      <c r="P321" s="133"/>
      <c r="Q321" s="90"/>
      <c r="R321" s="37">
        <f t="shared" si="14"/>
        <v>0</v>
      </c>
    </row>
    <row r="322" spans="2:18" ht="13.5" customHeight="1">
      <c r="B322" s="22" t="s">
        <v>25</v>
      </c>
      <c r="C322" s="58"/>
      <c r="D322" s="10"/>
      <c r="E322" s="107"/>
      <c r="F322" s="98"/>
      <c r="G322" s="95"/>
      <c r="H322" s="96"/>
      <c r="I322" s="98"/>
      <c r="J322" s="98"/>
      <c r="K322" s="4"/>
      <c r="L322" s="29"/>
      <c r="M322" s="4"/>
      <c r="N322" s="36"/>
      <c r="O322" s="133"/>
      <c r="P322" s="133"/>
      <c r="Q322" s="90"/>
      <c r="R322" s="37">
        <f t="shared" si="14"/>
        <v>0</v>
      </c>
    </row>
    <row r="323" spans="2:18" ht="13.5" customHeight="1">
      <c r="B323" s="22" t="s">
        <v>26</v>
      </c>
      <c r="C323" s="58"/>
      <c r="D323" s="10"/>
      <c r="E323" s="107"/>
      <c r="F323" s="98"/>
      <c r="G323" s="95"/>
      <c r="H323" s="98"/>
      <c r="I323" s="98"/>
      <c r="J323" s="98"/>
      <c r="K323" s="4"/>
      <c r="L323" s="29"/>
      <c r="M323" s="4"/>
      <c r="N323" s="327"/>
      <c r="O323" s="133"/>
      <c r="P323" s="133"/>
      <c r="Q323" s="90"/>
      <c r="R323" s="37">
        <f t="shared" si="14"/>
        <v>0</v>
      </c>
    </row>
    <row r="324" spans="2:18" ht="13.5" customHeight="1">
      <c r="B324" s="22" t="s">
        <v>27</v>
      </c>
      <c r="C324" s="58"/>
      <c r="D324" s="10"/>
      <c r="E324" s="107"/>
      <c r="F324" s="98"/>
      <c r="G324" s="95"/>
      <c r="H324" s="98"/>
      <c r="I324" s="98"/>
      <c r="J324" s="98"/>
      <c r="K324" s="4"/>
      <c r="L324" s="29"/>
      <c r="M324" s="4"/>
      <c r="N324" s="327"/>
      <c r="O324" s="133"/>
      <c r="P324" s="133"/>
      <c r="Q324" s="90"/>
      <c r="R324" s="37">
        <f t="shared" si="14"/>
        <v>0</v>
      </c>
    </row>
    <row r="325" spans="2:18" ht="13.5" customHeight="1">
      <c r="B325" s="22" t="s">
        <v>28</v>
      </c>
      <c r="C325" s="58"/>
      <c r="D325" s="10"/>
      <c r="E325" s="107"/>
      <c r="F325" s="98"/>
      <c r="G325" s="95"/>
      <c r="H325" s="98"/>
      <c r="I325" s="98"/>
      <c r="J325" s="98"/>
      <c r="K325" s="4"/>
      <c r="L325" s="29"/>
      <c r="M325" s="4"/>
      <c r="N325" s="327"/>
      <c r="O325" s="133"/>
      <c r="P325" s="133"/>
      <c r="Q325" s="90"/>
      <c r="R325" s="37">
        <f t="shared" si="14"/>
        <v>0</v>
      </c>
    </row>
    <row r="326" spans="2:18" ht="13.5" customHeight="1">
      <c r="B326" s="22" t="s">
        <v>29</v>
      </c>
      <c r="C326" s="58"/>
      <c r="D326" s="10"/>
      <c r="E326" s="107"/>
      <c r="F326" s="98"/>
      <c r="G326" s="95"/>
      <c r="H326" s="98"/>
      <c r="I326" s="98"/>
      <c r="J326" s="98"/>
      <c r="K326" s="4"/>
      <c r="L326" s="29"/>
      <c r="M326" s="4"/>
      <c r="N326" s="327"/>
      <c r="O326" s="133"/>
      <c r="P326" s="133"/>
      <c r="Q326" s="90"/>
      <c r="R326" s="37">
        <f t="shared" si="14"/>
        <v>0</v>
      </c>
    </row>
    <row r="327" spans="2:18" ht="13.5" customHeight="1">
      <c r="B327" s="22" t="s">
        <v>30</v>
      </c>
      <c r="C327" s="58"/>
      <c r="D327" s="10"/>
      <c r="E327" s="107"/>
      <c r="F327" s="98"/>
      <c r="G327" s="95"/>
      <c r="H327" s="98"/>
      <c r="I327" s="98"/>
      <c r="J327" s="98"/>
      <c r="K327" s="4"/>
      <c r="L327" s="29"/>
      <c r="M327" s="4"/>
      <c r="N327" s="327"/>
      <c r="O327" s="133"/>
      <c r="P327" s="133"/>
      <c r="Q327" s="90"/>
      <c r="R327" s="37">
        <f t="shared" si="14"/>
        <v>0</v>
      </c>
    </row>
    <row r="328" spans="2:18" ht="13.5" customHeight="1">
      <c r="B328" s="22" t="s">
        <v>31</v>
      </c>
      <c r="C328" s="58"/>
      <c r="D328" s="10"/>
      <c r="E328" s="107"/>
      <c r="F328" s="98"/>
      <c r="G328" s="95"/>
      <c r="H328" s="96"/>
      <c r="I328" s="98"/>
      <c r="J328" s="98"/>
      <c r="K328" s="4"/>
      <c r="L328" s="29"/>
      <c r="M328" s="36"/>
      <c r="N328" s="36"/>
      <c r="O328" s="133"/>
      <c r="P328" s="133"/>
      <c r="Q328" s="90"/>
      <c r="R328" s="37">
        <f t="shared" si="14"/>
        <v>0</v>
      </c>
    </row>
    <row r="329" spans="2:18" ht="13.5" customHeight="1">
      <c r="B329" s="22" t="s">
        <v>32</v>
      </c>
      <c r="C329" s="58"/>
      <c r="D329" s="10"/>
      <c r="E329" s="107"/>
      <c r="F329" s="98"/>
      <c r="G329" s="95"/>
      <c r="H329" s="98"/>
      <c r="I329" s="98"/>
      <c r="J329" s="98"/>
      <c r="K329" s="4"/>
      <c r="L329" s="29"/>
      <c r="M329" s="4"/>
      <c r="N329" s="4"/>
      <c r="O329" s="133"/>
      <c r="P329" s="133"/>
      <c r="Q329" s="90"/>
      <c r="R329" s="37">
        <f t="shared" si="14"/>
        <v>0</v>
      </c>
    </row>
    <row r="330" spans="2:18" ht="13.5" customHeight="1">
      <c r="B330" s="23" t="s">
        <v>33</v>
      </c>
      <c r="C330" s="58"/>
      <c r="D330" s="10"/>
      <c r="E330" s="107"/>
      <c r="F330" s="100"/>
      <c r="G330" s="95"/>
      <c r="H330" s="100"/>
      <c r="I330" s="100"/>
      <c r="J330" s="100"/>
      <c r="K330" s="4"/>
      <c r="L330" s="29"/>
      <c r="M330" s="4"/>
      <c r="N330" s="4"/>
      <c r="O330" s="133"/>
      <c r="P330" s="133"/>
      <c r="Q330" s="90"/>
      <c r="R330" s="37">
        <f t="shared" si="14"/>
        <v>0</v>
      </c>
    </row>
    <row r="331" spans="2:18" ht="13.5" customHeight="1">
      <c r="B331" s="23" t="s">
        <v>34</v>
      </c>
      <c r="C331" s="58"/>
      <c r="D331" s="10"/>
      <c r="E331" s="107"/>
      <c r="F331" s="100"/>
      <c r="G331" s="95"/>
      <c r="H331" s="100"/>
      <c r="I331" s="100"/>
      <c r="J331" s="100"/>
      <c r="K331" s="4"/>
      <c r="L331" s="29"/>
      <c r="M331" s="4"/>
      <c r="N331" s="4"/>
      <c r="O331" s="133"/>
      <c r="P331" s="133"/>
      <c r="Q331" s="90"/>
      <c r="R331" s="37">
        <f t="shared" si="14"/>
        <v>0</v>
      </c>
    </row>
    <row r="332" spans="2:18" ht="13.5" customHeight="1">
      <c r="B332" s="23" t="s">
        <v>37</v>
      </c>
      <c r="C332" s="58"/>
      <c r="D332" s="10"/>
      <c r="E332" s="96"/>
      <c r="F332" s="100"/>
      <c r="G332" s="95"/>
      <c r="H332" s="100"/>
      <c r="I332" s="100"/>
      <c r="J332" s="101"/>
      <c r="K332" s="4"/>
      <c r="L332" s="29"/>
      <c r="M332" s="109"/>
      <c r="N332" s="4"/>
      <c r="O332" s="133"/>
      <c r="P332" s="133"/>
      <c r="Q332" s="90"/>
      <c r="R332" s="37">
        <f t="shared" si="14"/>
        <v>0</v>
      </c>
    </row>
    <row r="333" spans="2:18" ht="13.5" customHeight="1" thickBot="1">
      <c r="B333" s="24" t="s">
        <v>38</v>
      </c>
      <c r="C333" s="78"/>
      <c r="D333" s="52"/>
      <c r="E333" s="102"/>
      <c r="F333" s="103"/>
      <c r="G333" s="102"/>
      <c r="H333" s="103"/>
      <c r="I333" s="103"/>
      <c r="J333" s="104"/>
      <c r="K333" s="54"/>
      <c r="L333" s="55"/>
      <c r="M333" s="110"/>
      <c r="N333" s="54"/>
      <c r="O333" s="134"/>
      <c r="P333" s="134"/>
      <c r="Q333" s="247"/>
      <c r="R333" s="37">
        <f t="shared" si="14"/>
        <v>0</v>
      </c>
    </row>
    <row r="334" spans="2:18" ht="13.5" customHeight="1" thickBot="1">
      <c r="B334" s="32" t="s">
        <v>12</v>
      </c>
      <c r="C334" s="60">
        <f>SUM(C317:C333)</f>
        <v>0</v>
      </c>
      <c r="D334" s="60">
        <f>SUM(D317:D333)</f>
        <v>0</v>
      </c>
      <c r="E334" s="240">
        <f>SUM(E298:E332)+E333</f>
        <v>0</v>
      </c>
      <c r="F334" s="241">
        <f aca="true" t="shared" si="15" ref="F334:Q334">SUM(F298:F332)</f>
        <v>0</v>
      </c>
      <c r="G334" s="241">
        <f t="shared" si="15"/>
        <v>0</v>
      </c>
      <c r="H334" s="241">
        <f t="shared" si="15"/>
        <v>0</v>
      </c>
      <c r="I334" s="241">
        <f t="shared" si="15"/>
        <v>0</v>
      </c>
      <c r="J334" s="241">
        <f t="shared" si="15"/>
        <v>0</v>
      </c>
      <c r="K334" s="241">
        <f t="shared" si="15"/>
        <v>0</v>
      </c>
      <c r="L334" s="241">
        <f t="shared" si="15"/>
        <v>0</v>
      </c>
      <c r="M334" s="241">
        <f t="shared" si="15"/>
        <v>0</v>
      </c>
      <c r="N334" s="258">
        <f t="shared" si="15"/>
        <v>0</v>
      </c>
      <c r="O334" s="258">
        <f t="shared" si="15"/>
        <v>0</v>
      </c>
      <c r="P334" s="258">
        <f t="shared" si="15"/>
        <v>0</v>
      </c>
      <c r="Q334" s="259">
        <f t="shared" si="15"/>
        <v>0</v>
      </c>
      <c r="R334" s="27">
        <f>SUM(R298:R332)+R333</f>
        <v>0</v>
      </c>
    </row>
    <row r="335" spans="2:18" ht="13.5" customHeight="1" thickBot="1">
      <c r="B335" s="80"/>
      <c r="C335" s="73">
        <v>2110</v>
      </c>
      <c r="D335" s="73">
        <v>2111</v>
      </c>
      <c r="E335" s="233">
        <v>2210</v>
      </c>
      <c r="F335" s="181">
        <v>2220</v>
      </c>
      <c r="G335" s="181">
        <v>2230</v>
      </c>
      <c r="H335" s="181">
        <v>2240</v>
      </c>
      <c r="I335" s="181">
        <v>2800</v>
      </c>
      <c r="J335" s="181">
        <v>2250</v>
      </c>
      <c r="K335" s="182">
        <v>2272</v>
      </c>
      <c r="L335" s="182">
        <v>2273</v>
      </c>
      <c r="M335" s="181">
        <v>2274</v>
      </c>
      <c r="N335" s="181">
        <v>2275</v>
      </c>
      <c r="O335" s="181">
        <v>3110</v>
      </c>
      <c r="P335" s="182">
        <v>2282</v>
      </c>
      <c r="Q335" s="183">
        <v>2730</v>
      </c>
      <c r="R335" s="27">
        <f>E334+F334+G334+H334+K334+L334+M334+N334+O334+P334+Q334+J334+I334</f>
        <v>0</v>
      </c>
    </row>
    <row r="336" spans="2:18" ht="13.5" customHeight="1">
      <c r="B336" s="63"/>
      <c r="C336" s="63"/>
      <c r="D336" s="63"/>
      <c r="E336" s="189"/>
      <c r="F336" s="189"/>
      <c r="G336" s="189"/>
      <c r="H336" s="189"/>
      <c r="I336" s="189"/>
      <c r="J336" s="189"/>
      <c r="K336" s="299"/>
      <c r="L336" s="299"/>
      <c r="M336" s="189"/>
      <c r="N336" s="189"/>
      <c r="O336" s="299"/>
      <c r="P336" s="300"/>
      <c r="Q336" s="300"/>
      <c r="R336" s="184">
        <f>SUM(E336:Q336)</f>
        <v>0</v>
      </c>
    </row>
    <row r="337" spans="2:18" ht="13.5" customHeight="1">
      <c r="B337" s="88"/>
      <c r="C337" s="88"/>
      <c r="D337" s="88"/>
      <c r="E337" s="326"/>
      <c r="F337" s="88"/>
      <c r="G337" s="88"/>
      <c r="H337" s="88"/>
      <c r="I337" s="88"/>
      <c r="J337" s="88"/>
      <c r="K337" s="88"/>
      <c r="L337" s="88"/>
      <c r="M337" s="88"/>
      <c r="N337" s="326"/>
      <c r="O337" s="88"/>
      <c r="P337" s="88"/>
      <c r="Q337" s="88"/>
      <c r="R337" s="88"/>
    </row>
    <row r="338" spans="2:18" ht="13.5" customHeight="1">
      <c r="B338" s="64"/>
      <c r="C338" s="64"/>
      <c r="D338" s="64"/>
      <c r="E338" s="64"/>
      <c r="F338" s="64"/>
      <c r="G338" s="64"/>
      <c r="H338" s="64"/>
      <c r="I338" s="64"/>
      <c r="J338" s="64"/>
      <c r="K338" s="64"/>
      <c r="L338" s="64"/>
      <c r="M338" s="64"/>
      <c r="N338" s="64"/>
      <c r="O338" s="64"/>
      <c r="P338" s="64"/>
      <c r="Q338" s="64"/>
      <c r="R338" s="64"/>
    </row>
    <row r="339" spans="2:18" ht="13.5" customHeight="1">
      <c r="B339" s="64"/>
      <c r="C339" s="64"/>
      <c r="D339" s="64"/>
      <c r="E339" s="64"/>
      <c r="F339" s="64"/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64"/>
      <c r="R339" s="64"/>
    </row>
    <row r="340" spans="2:18" ht="13.5" customHeight="1" thickBot="1">
      <c r="B340" s="435" t="s">
        <v>50</v>
      </c>
      <c r="C340" s="435"/>
      <c r="D340" s="435"/>
      <c r="E340" s="435"/>
      <c r="F340" s="435"/>
      <c r="G340" s="435"/>
      <c r="H340" s="435"/>
      <c r="I340" s="435"/>
      <c r="J340" s="435"/>
      <c r="K340" s="435"/>
      <c r="L340" s="435"/>
      <c r="M340" s="435"/>
      <c r="N340" s="435"/>
      <c r="O340" s="435"/>
      <c r="P340" s="435"/>
      <c r="Q340" s="435"/>
      <c r="R340" s="435"/>
    </row>
    <row r="341" spans="2:18" ht="13.5" customHeight="1" thickBot="1">
      <c r="B341" s="25" t="s">
        <v>36</v>
      </c>
      <c r="C341" s="14">
        <v>2110</v>
      </c>
      <c r="D341" s="14">
        <v>2111</v>
      </c>
      <c r="E341" s="207">
        <v>2210</v>
      </c>
      <c r="F341" s="120">
        <v>2220</v>
      </c>
      <c r="G341" s="120">
        <v>2230</v>
      </c>
      <c r="H341" s="120">
        <v>2240</v>
      </c>
      <c r="I341" s="120">
        <v>2800</v>
      </c>
      <c r="J341" s="120">
        <v>2250</v>
      </c>
      <c r="K341" s="15">
        <v>2272</v>
      </c>
      <c r="L341" s="15">
        <v>2273</v>
      </c>
      <c r="M341" s="121">
        <v>2274</v>
      </c>
      <c r="N341" s="121">
        <v>2275</v>
      </c>
      <c r="O341" s="121">
        <v>3110</v>
      </c>
      <c r="P341" s="15">
        <v>2282</v>
      </c>
      <c r="Q341" s="210">
        <v>2730</v>
      </c>
      <c r="R341" s="226" t="s">
        <v>35</v>
      </c>
    </row>
    <row r="342" spans="2:18" ht="13.5" customHeight="1">
      <c r="B342" s="21" t="s">
        <v>0</v>
      </c>
      <c r="C342" s="43"/>
      <c r="D342" s="262"/>
      <c r="E342" s="263"/>
      <c r="F342" s="301"/>
      <c r="G342" s="265"/>
      <c r="H342" s="265"/>
      <c r="I342" s="265"/>
      <c r="J342" s="302"/>
      <c r="K342" s="303"/>
      <c r="L342" s="267"/>
      <c r="M342" s="266"/>
      <c r="N342" s="267"/>
      <c r="O342" s="304"/>
      <c r="P342" s="304"/>
      <c r="Q342" s="305"/>
      <c r="R342" s="31">
        <f>SUM(E342:P342)</f>
        <v>0</v>
      </c>
    </row>
    <row r="343" spans="2:18" ht="13.5" customHeight="1">
      <c r="B343" s="22" t="s">
        <v>1</v>
      </c>
      <c r="C343" s="17"/>
      <c r="D343" s="270"/>
      <c r="E343" s="255"/>
      <c r="F343" s="286"/>
      <c r="G343" s="279"/>
      <c r="H343" s="251"/>
      <c r="I343" s="251"/>
      <c r="J343" s="285"/>
      <c r="K343" s="282"/>
      <c r="L343" s="273"/>
      <c r="M343" s="274"/>
      <c r="N343" s="273"/>
      <c r="O343" s="306"/>
      <c r="P343" s="306"/>
      <c r="Q343" s="307"/>
      <c r="R343" s="37">
        <f>SUM(E343:P343)</f>
        <v>0</v>
      </c>
    </row>
    <row r="344" spans="2:18" ht="13.5" customHeight="1">
      <c r="B344" s="22" t="s">
        <v>2</v>
      </c>
      <c r="C344" s="17"/>
      <c r="D344" s="270"/>
      <c r="E344" s="255"/>
      <c r="F344" s="286"/>
      <c r="G344" s="279"/>
      <c r="H344" s="251"/>
      <c r="I344" s="251"/>
      <c r="J344" s="279"/>
      <c r="K344" s="282"/>
      <c r="L344" s="273"/>
      <c r="M344" s="274"/>
      <c r="N344" s="273"/>
      <c r="O344" s="306"/>
      <c r="P344" s="306"/>
      <c r="Q344" s="307"/>
      <c r="R344" s="37">
        <f>SUM(E344:P344)</f>
        <v>0</v>
      </c>
    </row>
    <row r="345" spans="2:18" ht="13.5" customHeight="1">
      <c r="B345" s="22" t="s">
        <v>3</v>
      </c>
      <c r="C345" s="17"/>
      <c r="D345" s="270"/>
      <c r="E345" s="255"/>
      <c r="F345" s="286"/>
      <c r="G345" s="279"/>
      <c r="H345" s="251"/>
      <c r="I345" s="251"/>
      <c r="J345" s="285"/>
      <c r="K345" s="282"/>
      <c r="L345" s="273"/>
      <c r="M345" s="274"/>
      <c r="N345" s="273"/>
      <c r="O345" s="306"/>
      <c r="P345" s="306"/>
      <c r="Q345" s="307"/>
      <c r="R345" s="37">
        <f>SUM(E345:P345)</f>
        <v>0</v>
      </c>
    </row>
    <row r="346" spans="2:18" ht="13.5" customHeight="1">
      <c r="B346" s="22" t="s">
        <v>4</v>
      </c>
      <c r="C346" s="17"/>
      <c r="D346" s="270"/>
      <c r="E346" s="255"/>
      <c r="F346" s="286"/>
      <c r="G346" s="279"/>
      <c r="H346" s="251"/>
      <c r="I346" s="251"/>
      <c r="J346" s="279"/>
      <c r="K346" s="282"/>
      <c r="L346" s="273"/>
      <c r="M346" s="274"/>
      <c r="N346" s="273"/>
      <c r="O346" s="306"/>
      <c r="P346" s="306"/>
      <c r="Q346" s="307"/>
      <c r="R346" s="37">
        <f>SUM(E346:P346)</f>
        <v>0</v>
      </c>
    </row>
    <row r="347" spans="2:18" ht="13.5" customHeight="1">
      <c r="B347" s="22" t="s">
        <v>5</v>
      </c>
      <c r="C347" s="17"/>
      <c r="D347" s="270"/>
      <c r="E347" s="255"/>
      <c r="F347" s="286"/>
      <c r="G347" s="279"/>
      <c r="H347" s="279"/>
      <c r="I347" s="279"/>
      <c r="J347" s="279"/>
      <c r="K347" s="273"/>
      <c r="L347" s="273"/>
      <c r="M347" s="274"/>
      <c r="N347" s="275"/>
      <c r="O347" s="306"/>
      <c r="P347" s="306"/>
      <c r="Q347" s="308"/>
      <c r="R347" s="37">
        <f>SUM(E347:P347)+Q347</f>
        <v>0</v>
      </c>
    </row>
    <row r="348" spans="2:18" ht="13.5" customHeight="1">
      <c r="B348" s="22" t="s">
        <v>6</v>
      </c>
      <c r="C348" s="17"/>
      <c r="D348" s="270"/>
      <c r="E348" s="255"/>
      <c r="F348" s="286"/>
      <c r="G348" s="279"/>
      <c r="H348" s="251"/>
      <c r="I348" s="251"/>
      <c r="J348" s="285"/>
      <c r="K348" s="282"/>
      <c r="L348" s="273"/>
      <c r="M348" s="283"/>
      <c r="N348" s="273"/>
      <c r="O348" s="306"/>
      <c r="P348" s="306"/>
      <c r="Q348" s="307"/>
      <c r="R348" s="37">
        <f aca="true" t="shared" si="16" ref="R348:R377">SUM(E348:P348)</f>
        <v>0</v>
      </c>
    </row>
    <row r="349" spans="2:18" ht="13.5" customHeight="1">
      <c r="B349" s="22" t="s">
        <v>7</v>
      </c>
      <c r="C349" s="17"/>
      <c r="D349" s="270"/>
      <c r="E349" s="255"/>
      <c r="F349" s="309"/>
      <c r="G349" s="279"/>
      <c r="H349" s="251"/>
      <c r="I349" s="251"/>
      <c r="J349" s="285"/>
      <c r="K349" s="273"/>
      <c r="L349" s="273"/>
      <c r="M349" s="283"/>
      <c r="N349" s="272"/>
      <c r="O349" s="306"/>
      <c r="P349" s="306"/>
      <c r="Q349" s="307"/>
      <c r="R349" s="37">
        <f t="shared" si="16"/>
        <v>0</v>
      </c>
    </row>
    <row r="350" spans="2:18" ht="13.5" customHeight="1">
      <c r="B350" s="22" t="s">
        <v>8</v>
      </c>
      <c r="C350" s="17"/>
      <c r="D350" s="270"/>
      <c r="E350" s="255"/>
      <c r="F350" s="286"/>
      <c r="G350" s="279"/>
      <c r="H350" s="251"/>
      <c r="I350" s="251"/>
      <c r="J350" s="279"/>
      <c r="K350" s="282"/>
      <c r="L350" s="273"/>
      <c r="M350" s="283"/>
      <c r="N350" s="275"/>
      <c r="O350" s="306"/>
      <c r="P350" s="306"/>
      <c r="Q350" s="307"/>
      <c r="R350" s="37">
        <f t="shared" si="16"/>
        <v>0</v>
      </c>
    </row>
    <row r="351" spans="2:18" ht="13.5" customHeight="1">
      <c r="B351" s="22" t="s">
        <v>9</v>
      </c>
      <c r="C351" s="17"/>
      <c r="D351" s="270"/>
      <c r="E351" s="255"/>
      <c r="F351" s="286"/>
      <c r="G351" s="279"/>
      <c r="H351" s="251"/>
      <c r="I351" s="251"/>
      <c r="J351" s="285"/>
      <c r="K351" s="282"/>
      <c r="L351" s="273"/>
      <c r="M351" s="283"/>
      <c r="N351" s="275"/>
      <c r="O351" s="306"/>
      <c r="P351" s="306"/>
      <c r="Q351" s="307"/>
      <c r="R351" s="37">
        <f t="shared" si="16"/>
        <v>0</v>
      </c>
    </row>
    <row r="352" spans="2:18" ht="13.5" customHeight="1">
      <c r="B352" s="22" t="s">
        <v>10</v>
      </c>
      <c r="C352" s="17"/>
      <c r="D352" s="270"/>
      <c r="E352" s="255"/>
      <c r="F352" s="286"/>
      <c r="G352" s="279"/>
      <c r="H352" s="251"/>
      <c r="I352" s="251"/>
      <c r="J352" s="285"/>
      <c r="K352" s="282"/>
      <c r="L352" s="273"/>
      <c r="M352" s="283"/>
      <c r="N352" s="282"/>
      <c r="O352" s="306"/>
      <c r="P352" s="306"/>
      <c r="Q352" s="307"/>
      <c r="R352" s="37">
        <f t="shared" si="16"/>
        <v>0</v>
      </c>
    </row>
    <row r="353" spans="2:18" ht="13.5" customHeight="1">
      <c r="B353" s="22" t="s">
        <v>11</v>
      </c>
      <c r="C353" s="17"/>
      <c r="D353" s="270"/>
      <c r="E353" s="255"/>
      <c r="F353" s="286"/>
      <c r="G353" s="279"/>
      <c r="H353" s="251"/>
      <c r="I353" s="251"/>
      <c r="J353" s="285"/>
      <c r="K353" s="282"/>
      <c r="L353" s="273"/>
      <c r="M353" s="274"/>
      <c r="N353" s="272"/>
      <c r="O353" s="306"/>
      <c r="P353" s="306"/>
      <c r="Q353" s="307"/>
      <c r="R353" s="37">
        <f t="shared" si="16"/>
        <v>0</v>
      </c>
    </row>
    <row r="354" spans="2:18" ht="13.5" customHeight="1">
      <c r="B354" s="22" t="s">
        <v>13</v>
      </c>
      <c r="C354" s="17"/>
      <c r="D354" s="270"/>
      <c r="E354" s="255"/>
      <c r="F354" s="286"/>
      <c r="G354" s="279"/>
      <c r="H354" s="251"/>
      <c r="I354" s="251"/>
      <c r="J354" s="285"/>
      <c r="K354" s="282"/>
      <c r="L354" s="273"/>
      <c r="M354" s="283"/>
      <c r="N354" s="282"/>
      <c r="O354" s="306"/>
      <c r="P354" s="306"/>
      <c r="Q354" s="307"/>
      <c r="R354" s="37">
        <f t="shared" si="16"/>
        <v>0</v>
      </c>
    </row>
    <row r="355" spans="2:18" ht="13.5" customHeight="1">
      <c r="B355" s="22" t="s">
        <v>14</v>
      </c>
      <c r="C355" s="17"/>
      <c r="D355" s="270"/>
      <c r="E355" s="255"/>
      <c r="F355" s="286"/>
      <c r="G355" s="279"/>
      <c r="H355" s="251"/>
      <c r="I355" s="251"/>
      <c r="J355" s="285"/>
      <c r="K355" s="273"/>
      <c r="L355" s="273"/>
      <c r="M355" s="283"/>
      <c r="N355" s="282"/>
      <c r="O355" s="306"/>
      <c r="P355" s="306"/>
      <c r="Q355" s="307"/>
      <c r="R355" s="37">
        <f t="shared" si="16"/>
        <v>0</v>
      </c>
    </row>
    <row r="356" spans="2:18" ht="13.5" customHeight="1">
      <c r="B356" s="22" t="s">
        <v>15</v>
      </c>
      <c r="C356" s="17"/>
      <c r="D356" s="270"/>
      <c r="E356" s="255"/>
      <c r="F356" s="286"/>
      <c r="G356" s="279"/>
      <c r="H356" s="251"/>
      <c r="I356" s="251"/>
      <c r="J356" s="285"/>
      <c r="K356" s="282"/>
      <c r="L356" s="273"/>
      <c r="M356" s="283"/>
      <c r="N356" s="282"/>
      <c r="O356" s="306"/>
      <c r="P356" s="306"/>
      <c r="Q356" s="307"/>
      <c r="R356" s="37">
        <f t="shared" si="16"/>
        <v>0</v>
      </c>
    </row>
    <row r="357" spans="2:18" ht="13.5" customHeight="1">
      <c r="B357" s="22" t="s">
        <v>16</v>
      </c>
      <c r="C357" s="17"/>
      <c r="D357" s="270"/>
      <c r="E357" s="255"/>
      <c r="F357" s="286"/>
      <c r="G357" s="279"/>
      <c r="H357" s="251"/>
      <c r="I357" s="251"/>
      <c r="J357" s="279"/>
      <c r="K357" s="282"/>
      <c r="L357" s="273"/>
      <c r="M357" s="283"/>
      <c r="N357" s="273"/>
      <c r="O357" s="306"/>
      <c r="P357" s="306"/>
      <c r="Q357" s="307"/>
      <c r="R357" s="37">
        <f t="shared" si="16"/>
        <v>0</v>
      </c>
    </row>
    <row r="358" spans="2:18" ht="13.5" customHeight="1">
      <c r="B358" s="22" t="s">
        <v>17</v>
      </c>
      <c r="C358" s="17"/>
      <c r="D358" s="270"/>
      <c r="E358" s="255"/>
      <c r="F358" s="286"/>
      <c r="G358" s="279"/>
      <c r="H358" s="251"/>
      <c r="I358" s="251"/>
      <c r="J358" s="279"/>
      <c r="K358" s="282"/>
      <c r="L358" s="273"/>
      <c r="M358" s="283"/>
      <c r="N358" s="282"/>
      <c r="O358" s="306"/>
      <c r="P358" s="306"/>
      <c r="Q358" s="307"/>
      <c r="R358" s="37">
        <f t="shared" si="16"/>
        <v>0</v>
      </c>
    </row>
    <row r="359" spans="2:18" ht="13.5" customHeight="1">
      <c r="B359" s="22" t="s">
        <v>18</v>
      </c>
      <c r="C359" s="17"/>
      <c r="D359" s="270"/>
      <c r="E359" s="255"/>
      <c r="F359" s="286"/>
      <c r="G359" s="279"/>
      <c r="H359" s="251"/>
      <c r="I359" s="251"/>
      <c r="J359" s="279"/>
      <c r="K359" s="273"/>
      <c r="L359" s="273"/>
      <c r="M359" s="274"/>
      <c r="N359" s="273"/>
      <c r="O359" s="306"/>
      <c r="P359" s="306"/>
      <c r="Q359" s="307"/>
      <c r="R359" s="37">
        <f t="shared" si="16"/>
        <v>0</v>
      </c>
    </row>
    <row r="360" spans="2:18" ht="13.5" customHeight="1">
      <c r="B360" s="22" t="s">
        <v>19</v>
      </c>
      <c r="C360" s="17"/>
      <c r="D360" s="270"/>
      <c r="E360" s="255"/>
      <c r="F360" s="286"/>
      <c r="G360" s="279"/>
      <c r="H360" s="251"/>
      <c r="I360" s="251"/>
      <c r="J360" s="279"/>
      <c r="K360" s="282"/>
      <c r="L360" s="273"/>
      <c r="M360" s="283"/>
      <c r="N360" s="273"/>
      <c r="O360" s="306"/>
      <c r="P360" s="306"/>
      <c r="Q360" s="307"/>
      <c r="R360" s="37">
        <f t="shared" si="16"/>
        <v>0</v>
      </c>
    </row>
    <row r="361" spans="2:18" ht="13.5" customHeight="1">
      <c r="B361" s="22" t="s">
        <v>20</v>
      </c>
      <c r="C361" s="58"/>
      <c r="D361" s="271"/>
      <c r="E361" s="255"/>
      <c r="F361" s="286"/>
      <c r="G361" s="279"/>
      <c r="H361" s="251"/>
      <c r="I361" s="251"/>
      <c r="J361" s="285"/>
      <c r="K361" s="272"/>
      <c r="L361" s="273"/>
      <c r="M361" s="283"/>
      <c r="N361" s="273"/>
      <c r="O361" s="306"/>
      <c r="P361" s="306"/>
      <c r="Q361" s="307"/>
      <c r="R361" s="37">
        <f t="shared" si="16"/>
        <v>0</v>
      </c>
    </row>
    <row r="362" spans="2:18" ht="13.5" customHeight="1">
      <c r="B362" s="22" t="s">
        <v>21</v>
      </c>
      <c r="C362" s="58"/>
      <c r="D362" s="284"/>
      <c r="E362" s="255"/>
      <c r="F362" s="286"/>
      <c r="G362" s="279"/>
      <c r="H362" s="251"/>
      <c r="I362" s="251"/>
      <c r="J362" s="279"/>
      <c r="K362" s="272"/>
      <c r="L362" s="273"/>
      <c r="M362" s="283"/>
      <c r="N362" s="273"/>
      <c r="O362" s="306"/>
      <c r="P362" s="306"/>
      <c r="Q362" s="307"/>
      <c r="R362" s="37">
        <f t="shared" si="16"/>
        <v>0</v>
      </c>
    </row>
    <row r="363" spans="2:18" ht="13.5" customHeight="1">
      <c r="B363" s="22" t="s">
        <v>22</v>
      </c>
      <c r="C363" s="58"/>
      <c r="D363" s="284"/>
      <c r="E363" s="255"/>
      <c r="F363" s="286"/>
      <c r="G363" s="279"/>
      <c r="H363" s="251"/>
      <c r="I363" s="251"/>
      <c r="J363" s="279"/>
      <c r="K363" s="272"/>
      <c r="L363" s="273"/>
      <c r="M363" s="283"/>
      <c r="N363" s="273"/>
      <c r="O363" s="306"/>
      <c r="P363" s="306"/>
      <c r="Q363" s="307"/>
      <c r="R363" s="37">
        <f t="shared" si="16"/>
        <v>0</v>
      </c>
    </row>
    <row r="364" spans="2:18" ht="13.5" customHeight="1">
      <c r="B364" s="22" t="s">
        <v>23</v>
      </c>
      <c r="C364" s="58"/>
      <c r="D364" s="284"/>
      <c r="E364" s="255"/>
      <c r="F364" s="286"/>
      <c r="G364" s="279"/>
      <c r="H364" s="251"/>
      <c r="I364" s="251"/>
      <c r="J364" s="285"/>
      <c r="K364" s="272"/>
      <c r="L364" s="273"/>
      <c r="M364" s="283"/>
      <c r="N364" s="273"/>
      <c r="O364" s="306"/>
      <c r="P364" s="306"/>
      <c r="Q364" s="307"/>
      <c r="R364" s="37">
        <f t="shared" si="16"/>
        <v>0</v>
      </c>
    </row>
    <row r="365" spans="2:18" ht="13.5" customHeight="1">
      <c r="B365" s="22" t="s">
        <v>24</v>
      </c>
      <c r="C365" s="58"/>
      <c r="D365" s="284"/>
      <c r="E365" s="255"/>
      <c r="F365" s="286"/>
      <c r="G365" s="279"/>
      <c r="H365" s="251"/>
      <c r="I365" s="251"/>
      <c r="J365" s="279"/>
      <c r="K365" s="272"/>
      <c r="L365" s="273"/>
      <c r="M365" s="282"/>
      <c r="N365" s="273"/>
      <c r="O365" s="306"/>
      <c r="P365" s="306"/>
      <c r="Q365" s="307"/>
      <c r="R365" s="37">
        <f t="shared" si="16"/>
        <v>0</v>
      </c>
    </row>
    <row r="366" spans="2:18" ht="13.5" customHeight="1">
      <c r="B366" s="22" t="s">
        <v>25</v>
      </c>
      <c r="C366" s="58"/>
      <c r="D366" s="284"/>
      <c r="E366" s="255"/>
      <c r="F366" s="286"/>
      <c r="G366" s="279"/>
      <c r="H366" s="286"/>
      <c r="I366" s="286"/>
      <c r="J366" s="286"/>
      <c r="K366" s="272"/>
      <c r="L366" s="273"/>
      <c r="M366" s="272"/>
      <c r="N366" s="273"/>
      <c r="O366" s="306"/>
      <c r="P366" s="306"/>
      <c r="Q366" s="307"/>
      <c r="R366" s="37">
        <f t="shared" si="16"/>
        <v>0</v>
      </c>
    </row>
    <row r="367" spans="2:18" ht="13.5" customHeight="1">
      <c r="B367" s="22" t="s">
        <v>26</v>
      </c>
      <c r="C367" s="58"/>
      <c r="D367" s="284"/>
      <c r="E367" s="255"/>
      <c r="F367" s="286"/>
      <c r="G367" s="279"/>
      <c r="H367" s="285"/>
      <c r="I367" s="286"/>
      <c r="J367" s="286"/>
      <c r="K367" s="272"/>
      <c r="L367" s="273"/>
      <c r="M367" s="272"/>
      <c r="N367" s="273"/>
      <c r="O367" s="306"/>
      <c r="P367" s="306"/>
      <c r="Q367" s="307"/>
      <c r="R367" s="37">
        <f t="shared" si="16"/>
        <v>0</v>
      </c>
    </row>
    <row r="368" spans="2:18" ht="13.5" customHeight="1">
      <c r="B368" s="22" t="s">
        <v>27</v>
      </c>
      <c r="C368" s="58"/>
      <c r="D368" s="284"/>
      <c r="E368" s="255"/>
      <c r="F368" s="286"/>
      <c r="G368" s="279"/>
      <c r="H368" s="286"/>
      <c r="I368" s="286"/>
      <c r="J368" s="286"/>
      <c r="K368" s="272"/>
      <c r="L368" s="273"/>
      <c r="M368" s="272"/>
      <c r="N368" s="273"/>
      <c r="O368" s="306"/>
      <c r="P368" s="306"/>
      <c r="Q368" s="307"/>
      <c r="R368" s="37">
        <f t="shared" si="16"/>
        <v>0</v>
      </c>
    </row>
    <row r="369" spans="2:18" ht="13.5" customHeight="1">
      <c r="B369" s="22" t="s">
        <v>28</v>
      </c>
      <c r="C369" s="58"/>
      <c r="D369" s="284"/>
      <c r="E369" s="255"/>
      <c r="F369" s="286"/>
      <c r="G369" s="279"/>
      <c r="H369" s="286"/>
      <c r="I369" s="286"/>
      <c r="J369" s="286"/>
      <c r="K369" s="272"/>
      <c r="L369" s="273"/>
      <c r="M369" s="272"/>
      <c r="N369" s="273"/>
      <c r="O369" s="306"/>
      <c r="P369" s="306"/>
      <c r="Q369" s="307"/>
      <c r="R369" s="37">
        <f t="shared" si="16"/>
        <v>0</v>
      </c>
    </row>
    <row r="370" spans="2:18" ht="13.5" customHeight="1">
      <c r="B370" s="22" t="s">
        <v>29</v>
      </c>
      <c r="C370" s="58"/>
      <c r="D370" s="284"/>
      <c r="E370" s="255"/>
      <c r="F370" s="286"/>
      <c r="G370" s="279"/>
      <c r="H370" s="286"/>
      <c r="I370" s="286"/>
      <c r="J370" s="286"/>
      <c r="K370" s="272"/>
      <c r="L370" s="273"/>
      <c r="M370" s="272"/>
      <c r="N370" s="273"/>
      <c r="O370" s="306"/>
      <c r="P370" s="306"/>
      <c r="Q370" s="307"/>
      <c r="R370" s="37">
        <f t="shared" si="16"/>
        <v>0</v>
      </c>
    </row>
    <row r="371" spans="2:18" ht="13.5" customHeight="1">
      <c r="B371" s="22" t="s">
        <v>30</v>
      </c>
      <c r="C371" s="58"/>
      <c r="D371" s="284"/>
      <c r="E371" s="255"/>
      <c r="F371" s="286"/>
      <c r="G371" s="279"/>
      <c r="H371" s="286"/>
      <c r="I371" s="286"/>
      <c r="J371" s="286"/>
      <c r="K371" s="272"/>
      <c r="L371" s="273"/>
      <c r="M371" s="272"/>
      <c r="N371" s="273"/>
      <c r="O371" s="306"/>
      <c r="P371" s="306"/>
      <c r="Q371" s="307"/>
      <c r="R371" s="37">
        <f t="shared" si="16"/>
        <v>0</v>
      </c>
    </row>
    <row r="372" spans="2:18" ht="13.5" customHeight="1">
      <c r="B372" s="22" t="s">
        <v>31</v>
      </c>
      <c r="C372" s="58"/>
      <c r="D372" s="284"/>
      <c r="E372" s="255"/>
      <c r="F372" s="286"/>
      <c r="G372" s="279"/>
      <c r="H372" s="286"/>
      <c r="I372" s="286"/>
      <c r="J372" s="286"/>
      <c r="K372" s="272"/>
      <c r="L372" s="273"/>
      <c r="M372" s="282"/>
      <c r="N372" s="273"/>
      <c r="O372" s="306"/>
      <c r="P372" s="306"/>
      <c r="Q372" s="307"/>
      <c r="R372" s="37">
        <f t="shared" si="16"/>
        <v>0</v>
      </c>
    </row>
    <row r="373" spans="2:18" ht="13.5" customHeight="1">
      <c r="B373" s="22" t="s">
        <v>32</v>
      </c>
      <c r="C373" s="58"/>
      <c r="D373" s="284"/>
      <c r="E373" s="255"/>
      <c r="F373" s="286"/>
      <c r="G373" s="279"/>
      <c r="H373" s="286"/>
      <c r="I373" s="286"/>
      <c r="J373" s="286"/>
      <c r="K373" s="272"/>
      <c r="L373" s="273"/>
      <c r="M373" s="272"/>
      <c r="N373" s="273"/>
      <c r="O373" s="306"/>
      <c r="P373" s="306"/>
      <c r="Q373" s="307"/>
      <c r="R373" s="37">
        <f t="shared" si="16"/>
        <v>0</v>
      </c>
    </row>
    <row r="374" spans="2:18" ht="13.5" customHeight="1">
      <c r="B374" s="23" t="s">
        <v>33</v>
      </c>
      <c r="C374" s="58"/>
      <c r="D374" s="284"/>
      <c r="E374" s="255"/>
      <c r="F374" s="310"/>
      <c r="G374" s="279"/>
      <c r="H374" s="310"/>
      <c r="I374" s="310"/>
      <c r="J374" s="310"/>
      <c r="K374" s="272"/>
      <c r="L374" s="273"/>
      <c r="M374" s="272"/>
      <c r="N374" s="282"/>
      <c r="O374" s="306"/>
      <c r="P374" s="306"/>
      <c r="Q374" s="307"/>
      <c r="R374" s="37">
        <f t="shared" si="16"/>
        <v>0</v>
      </c>
    </row>
    <row r="375" spans="2:18" ht="13.5" customHeight="1">
      <c r="B375" s="23" t="s">
        <v>34</v>
      </c>
      <c r="C375" s="58"/>
      <c r="D375" s="284"/>
      <c r="E375" s="255"/>
      <c r="F375" s="310"/>
      <c r="G375" s="279"/>
      <c r="H375" s="310"/>
      <c r="I375" s="310"/>
      <c r="J375" s="310"/>
      <c r="K375" s="272"/>
      <c r="L375" s="273"/>
      <c r="M375" s="272"/>
      <c r="N375" s="282"/>
      <c r="O375" s="306"/>
      <c r="P375" s="306"/>
      <c r="Q375" s="307"/>
      <c r="R375" s="37">
        <f t="shared" si="16"/>
        <v>0</v>
      </c>
    </row>
    <row r="376" spans="2:18" ht="13.5" customHeight="1">
      <c r="B376" s="23" t="s">
        <v>37</v>
      </c>
      <c r="C376" s="58"/>
      <c r="D376" s="284"/>
      <c r="E376" s="285"/>
      <c r="F376" s="310"/>
      <c r="G376" s="279"/>
      <c r="H376" s="279"/>
      <c r="I376" s="310"/>
      <c r="J376" s="311"/>
      <c r="K376" s="272"/>
      <c r="L376" s="273"/>
      <c r="M376" s="311"/>
      <c r="N376" s="282"/>
      <c r="O376" s="306"/>
      <c r="P376" s="306"/>
      <c r="Q376" s="307"/>
      <c r="R376" s="37">
        <f t="shared" si="16"/>
        <v>0</v>
      </c>
    </row>
    <row r="377" spans="2:18" ht="13.5" customHeight="1" thickBot="1">
      <c r="B377" s="24" t="s">
        <v>38</v>
      </c>
      <c r="C377" s="78"/>
      <c r="D377" s="289"/>
      <c r="E377" s="255"/>
      <c r="F377" s="312"/>
      <c r="G377" s="290"/>
      <c r="H377" s="290"/>
      <c r="I377" s="312"/>
      <c r="J377" s="313"/>
      <c r="K377" s="294"/>
      <c r="L377" s="295"/>
      <c r="M377" s="313"/>
      <c r="N377" s="294"/>
      <c r="O377" s="314"/>
      <c r="P377" s="314"/>
      <c r="Q377" s="315"/>
      <c r="R377" s="37">
        <f t="shared" si="16"/>
        <v>0</v>
      </c>
    </row>
    <row r="378" spans="2:18" ht="13.5" customHeight="1" thickBot="1">
      <c r="B378" s="32" t="s">
        <v>12</v>
      </c>
      <c r="C378" s="60">
        <f>SUM(C361:C377)</f>
        <v>0</v>
      </c>
      <c r="D378" s="60">
        <f>SUM(D361:D377)</f>
        <v>0</v>
      </c>
      <c r="E378" s="240">
        <f>SUM(E342:E376)+E377</f>
        <v>0</v>
      </c>
      <c r="F378" s="241">
        <f aca="true" t="shared" si="17" ref="F378:Q378">SUM(F342:F376)</f>
        <v>0</v>
      </c>
      <c r="G378" s="241">
        <f t="shared" si="17"/>
        <v>0</v>
      </c>
      <c r="H378" s="241">
        <f>SUM(H342:H376)+H377</f>
        <v>0</v>
      </c>
      <c r="I378" s="241">
        <f t="shared" si="17"/>
        <v>0</v>
      </c>
      <c r="J378" s="241">
        <f t="shared" si="17"/>
        <v>0</v>
      </c>
      <c r="K378" s="241">
        <f t="shared" si="17"/>
        <v>0</v>
      </c>
      <c r="L378" s="241">
        <f t="shared" si="17"/>
        <v>0</v>
      </c>
      <c r="M378" s="241">
        <f t="shared" si="17"/>
        <v>0</v>
      </c>
      <c r="N378" s="258">
        <f t="shared" si="17"/>
        <v>0</v>
      </c>
      <c r="O378" s="258">
        <f t="shared" si="17"/>
        <v>0</v>
      </c>
      <c r="P378" s="258">
        <f t="shared" si="17"/>
        <v>0</v>
      </c>
      <c r="Q378" s="259">
        <f t="shared" si="17"/>
        <v>0</v>
      </c>
      <c r="R378" s="27">
        <f>SUM(R342:R376)+R377</f>
        <v>0</v>
      </c>
    </row>
    <row r="379" spans="2:18" ht="13.5" customHeight="1" thickBot="1">
      <c r="B379" s="80"/>
      <c r="C379" s="73">
        <v>2110</v>
      </c>
      <c r="D379" s="73">
        <v>2111</v>
      </c>
      <c r="E379" s="233">
        <v>2210</v>
      </c>
      <c r="F379" s="181">
        <v>2220</v>
      </c>
      <c r="G379" s="181">
        <v>2230</v>
      </c>
      <c r="H379" s="181">
        <v>2240</v>
      </c>
      <c r="I379" s="181">
        <v>2800</v>
      </c>
      <c r="J379" s="181">
        <v>2250</v>
      </c>
      <c r="K379" s="182">
        <v>2272</v>
      </c>
      <c r="L379" s="182">
        <v>2273</v>
      </c>
      <c r="M379" s="181">
        <v>2274</v>
      </c>
      <c r="N379" s="181">
        <v>2275</v>
      </c>
      <c r="O379" s="181">
        <v>3110</v>
      </c>
      <c r="P379" s="182">
        <v>2282</v>
      </c>
      <c r="Q379" s="183">
        <v>2730</v>
      </c>
      <c r="R379" s="27">
        <f>E378+F378+G378+H378+K378+L378+M378+N378+O378+P378+Q378+J378+I378</f>
        <v>0</v>
      </c>
    </row>
    <row r="380" spans="2:18" ht="13.5" customHeight="1">
      <c r="B380" s="63"/>
      <c r="C380" s="63"/>
      <c r="D380" s="63"/>
      <c r="E380" s="189"/>
      <c r="F380" s="189"/>
      <c r="G380" s="189"/>
      <c r="H380" s="189"/>
      <c r="I380" s="189"/>
      <c r="J380" s="189"/>
      <c r="K380" s="299"/>
      <c r="L380" s="299"/>
      <c r="M380" s="189"/>
      <c r="N380" s="189"/>
      <c r="O380" s="299"/>
      <c r="P380" s="300"/>
      <c r="Q380" s="300"/>
      <c r="R380" s="184">
        <f>SUM(E380:Q380)</f>
        <v>0</v>
      </c>
    </row>
    <row r="381" spans="2:18" ht="13.5" customHeight="1">
      <c r="B381" s="88"/>
      <c r="C381" s="88"/>
      <c r="D381" s="88"/>
      <c r="E381" s="325"/>
      <c r="F381" s="325"/>
      <c r="G381" s="325"/>
      <c r="H381" s="326"/>
      <c r="I381" s="88"/>
      <c r="J381" s="88"/>
      <c r="K381" s="88"/>
      <c r="L381" s="88"/>
      <c r="M381" s="88"/>
      <c r="N381" s="88"/>
      <c r="O381" s="88"/>
      <c r="P381" s="88"/>
      <c r="Q381" s="88"/>
      <c r="R381" s="88"/>
    </row>
    <row r="382" spans="2:18" ht="13.5" customHeight="1">
      <c r="B382" s="64"/>
      <c r="C382" s="64"/>
      <c r="D382" s="64"/>
      <c r="E382" s="64"/>
      <c r="F382" s="64"/>
      <c r="G382" s="64"/>
      <c r="H382" s="64"/>
      <c r="I382" s="64"/>
      <c r="J382" s="64"/>
      <c r="K382" s="64"/>
      <c r="L382" s="64"/>
      <c r="M382" s="64"/>
      <c r="N382" s="64"/>
      <c r="O382" s="64"/>
      <c r="P382" s="64"/>
      <c r="Q382" s="64"/>
      <c r="R382" s="64"/>
    </row>
    <row r="383" spans="2:18" ht="13.5" customHeight="1">
      <c r="B383" s="64"/>
      <c r="C383" s="64"/>
      <c r="D383" s="64"/>
      <c r="E383" s="64"/>
      <c r="F383" s="64"/>
      <c r="G383" s="64"/>
      <c r="H383" s="64"/>
      <c r="I383" s="64"/>
      <c r="J383" s="64"/>
      <c r="K383" s="64"/>
      <c r="L383" s="64"/>
      <c r="M383" s="64"/>
      <c r="N383" s="64"/>
      <c r="O383" s="64"/>
      <c r="P383" s="64"/>
      <c r="Q383" s="64"/>
      <c r="R383" s="64"/>
    </row>
    <row r="384" spans="2:18" ht="13.5" customHeight="1" thickBot="1">
      <c r="B384" s="435" t="s">
        <v>52</v>
      </c>
      <c r="C384" s="435"/>
      <c r="D384" s="435"/>
      <c r="E384" s="435"/>
      <c r="F384" s="435"/>
      <c r="G384" s="435"/>
      <c r="H384" s="435"/>
      <c r="I384" s="435"/>
      <c r="J384" s="435"/>
      <c r="K384" s="435"/>
      <c r="L384" s="435"/>
      <c r="M384" s="435"/>
      <c r="N384" s="435"/>
      <c r="O384" s="435"/>
      <c r="P384" s="435"/>
      <c r="Q384" s="435"/>
      <c r="R384" s="435"/>
    </row>
    <row r="385" spans="2:18" ht="13.5" customHeight="1" thickBot="1">
      <c r="B385" s="25" t="s">
        <v>36</v>
      </c>
      <c r="C385" s="206">
        <v>2110</v>
      </c>
      <c r="D385" s="206">
        <v>2111</v>
      </c>
      <c r="E385" s="207">
        <v>2210</v>
      </c>
      <c r="F385" s="120">
        <v>2220</v>
      </c>
      <c r="G385" s="120">
        <v>2230</v>
      </c>
      <c r="H385" s="120">
        <v>2240</v>
      </c>
      <c r="I385" s="120">
        <v>2800</v>
      </c>
      <c r="J385" s="120">
        <v>2250</v>
      </c>
      <c r="K385" s="15">
        <v>2272</v>
      </c>
      <c r="L385" s="15">
        <v>2273</v>
      </c>
      <c r="M385" s="121">
        <v>2274</v>
      </c>
      <c r="N385" s="121">
        <v>2275</v>
      </c>
      <c r="O385" s="121">
        <v>3110</v>
      </c>
      <c r="P385" s="15">
        <v>2282</v>
      </c>
      <c r="Q385" s="210">
        <v>2730</v>
      </c>
      <c r="R385" s="226" t="s">
        <v>35</v>
      </c>
    </row>
    <row r="386" spans="2:18" ht="13.5" customHeight="1">
      <c r="B386" s="21" t="s">
        <v>0</v>
      </c>
      <c r="C386" s="196"/>
      <c r="D386" s="94"/>
      <c r="E386" s="105"/>
      <c r="F386" s="94"/>
      <c r="G386" s="92"/>
      <c r="H386" s="92"/>
      <c r="I386" s="92"/>
      <c r="J386" s="93"/>
      <c r="K386" s="46"/>
      <c r="L386" s="28"/>
      <c r="M386" s="46"/>
      <c r="N386" s="28"/>
      <c r="O386" s="132"/>
      <c r="P386" s="132"/>
      <c r="Q386" s="135"/>
      <c r="R386" s="31">
        <f>SUM(E386:P386)</f>
        <v>0</v>
      </c>
    </row>
    <row r="387" spans="2:18" ht="13.5" customHeight="1">
      <c r="B387" s="22" t="s">
        <v>1</v>
      </c>
      <c r="C387" s="197"/>
      <c r="D387" s="98"/>
      <c r="E387" s="106"/>
      <c r="F387" s="98"/>
      <c r="G387" s="95"/>
      <c r="H387" s="97"/>
      <c r="I387" s="97"/>
      <c r="J387" s="96"/>
      <c r="K387" s="4"/>
      <c r="L387" s="29"/>
      <c r="M387" s="29"/>
      <c r="N387" s="6"/>
      <c r="O387" s="133"/>
      <c r="P387" s="133"/>
      <c r="Q387" s="136"/>
      <c r="R387" s="37">
        <f>SUM(E387:P387)</f>
        <v>0</v>
      </c>
    </row>
    <row r="388" spans="2:18" ht="13.5" customHeight="1">
      <c r="B388" s="22" t="s">
        <v>2</v>
      </c>
      <c r="C388" s="197"/>
      <c r="D388" s="98"/>
      <c r="E388" s="106"/>
      <c r="F388" s="98"/>
      <c r="G388" s="95"/>
      <c r="H388" s="97"/>
      <c r="I388" s="97"/>
      <c r="J388" s="95"/>
      <c r="K388" s="4"/>
      <c r="L388" s="29"/>
      <c r="M388" s="29"/>
      <c r="N388" s="6"/>
      <c r="O388" s="133"/>
      <c r="P388" s="133"/>
      <c r="Q388" s="136"/>
      <c r="R388" s="37">
        <f>SUM(E388:P388)</f>
        <v>0</v>
      </c>
    </row>
    <row r="389" spans="2:18" ht="13.5" customHeight="1">
      <c r="B389" s="22" t="s">
        <v>3</v>
      </c>
      <c r="C389" s="197"/>
      <c r="D389" s="98"/>
      <c r="E389" s="106"/>
      <c r="F389" s="98"/>
      <c r="G389" s="95"/>
      <c r="H389" s="97"/>
      <c r="I389" s="97"/>
      <c r="J389" s="96"/>
      <c r="K389" s="4"/>
      <c r="L389" s="29"/>
      <c r="M389" s="29"/>
      <c r="N389" s="6"/>
      <c r="O389" s="133"/>
      <c r="P389" s="133"/>
      <c r="Q389" s="136"/>
      <c r="R389" s="37">
        <f>SUM(E389:P389)</f>
        <v>0</v>
      </c>
    </row>
    <row r="390" spans="2:18" ht="13.5" customHeight="1">
      <c r="B390" s="22" t="s">
        <v>4</v>
      </c>
      <c r="C390" s="197"/>
      <c r="D390" s="98"/>
      <c r="E390" s="106"/>
      <c r="F390" s="98"/>
      <c r="G390" s="95"/>
      <c r="H390" s="97"/>
      <c r="I390" s="97"/>
      <c r="J390" s="95"/>
      <c r="K390" s="4"/>
      <c r="L390" s="29"/>
      <c r="M390" s="29"/>
      <c r="N390" s="29"/>
      <c r="O390" s="133"/>
      <c r="P390" s="133"/>
      <c r="Q390" s="136"/>
      <c r="R390" s="37">
        <f>SUM(E390:P390)</f>
        <v>0</v>
      </c>
    </row>
    <row r="391" spans="2:18" ht="13.5" customHeight="1">
      <c r="B391" s="22" t="s">
        <v>5</v>
      </c>
      <c r="C391" s="197"/>
      <c r="D391" s="98"/>
      <c r="E391" s="106"/>
      <c r="F391" s="96"/>
      <c r="G391" s="95"/>
      <c r="H391" s="95"/>
      <c r="I391" s="95"/>
      <c r="J391" s="95"/>
      <c r="K391" s="29"/>
      <c r="L391" s="29"/>
      <c r="M391" s="29"/>
      <c r="N391" s="6"/>
      <c r="O391" s="133"/>
      <c r="P391" s="133"/>
      <c r="Q391" s="174"/>
      <c r="R391" s="37">
        <f>SUM(E391:P391)+Q391</f>
        <v>0</v>
      </c>
    </row>
    <row r="392" spans="2:18" ht="13.5" customHeight="1">
      <c r="B392" s="22" t="s">
        <v>6</v>
      </c>
      <c r="C392" s="197"/>
      <c r="D392" s="98"/>
      <c r="E392" s="106"/>
      <c r="F392" s="98"/>
      <c r="G392" s="95"/>
      <c r="H392" s="97"/>
      <c r="I392" s="97"/>
      <c r="J392" s="95"/>
      <c r="K392" s="29"/>
      <c r="L392" s="29"/>
      <c r="M392" s="36"/>
      <c r="N392" s="6"/>
      <c r="O392" s="133"/>
      <c r="P392" s="133"/>
      <c r="Q392" s="136"/>
      <c r="R392" s="37">
        <f aca="true" t="shared" si="18" ref="R392:R421">SUM(E392:P392)</f>
        <v>0</v>
      </c>
    </row>
    <row r="393" spans="2:18" ht="13.5" customHeight="1">
      <c r="B393" s="22" t="s">
        <v>7</v>
      </c>
      <c r="C393" s="197"/>
      <c r="D393" s="98"/>
      <c r="E393" s="106"/>
      <c r="F393" s="99"/>
      <c r="G393" s="95"/>
      <c r="H393" s="97"/>
      <c r="I393" s="97"/>
      <c r="J393" s="95"/>
      <c r="K393" s="29"/>
      <c r="L393" s="29"/>
      <c r="M393" s="36"/>
      <c r="N393" s="4"/>
      <c r="O393" s="133"/>
      <c r="P393" s="133"/>
      <c r="Q393" s="136"/>
      <c r="R393" s="37">
        <f t="shared" si="18"/>
        <v>0</v>
      </c>
    </row>
    <row r="394" spans="2:18" ht="13.5" customHeight="1">
      <c r="B394" s="22" t="s">
        <v>8</v>
      </c>
      <c r="C394" s="197"/>
      <c r="D394" s="98"/>
      <c r="E394" s="107"/>
      <c r="F394" s="98"/>
      <c r="G394" s="95"/>
      <c r="H394" s="97"/>
      <c r="I394" s="97"/>
      <c r="J394" s="95"/>
      <c r="K394" s="36"/>
      <c r="L394" s="29"/>
      <c r="M394" s="36"/>
      <c r="N394" s="29"/>
      <c r="O394" s="133"/>
      <c r="P394" s="133"/>
      <c r="Q394" s="136"/>
      <c r="R394" s="37">
        <f t="shared" si="18"/>
        <v>0</v>
      </c>
    </row>
    <row r="395" spans="2:18" ht="13.5" customHeight="1">
      <c r="B395" s="22" t="s">
        <v>9</v>
      </c>
      <c r="C395" s="197"/>
      <c r="D395" s="98"/>
      <c r="E395" s="107"/>
      <c r="F395" s="98"/>
      <c r="G395" s="95"/>
      <c r="H395" s="97"/>
      <c r="I395" s="97"/>
      <c r="J395" s="95"/>
      <c r="K395" s="4"/>
      <c r="L395" s="29"/>
      <c r="M395" s="36"/>
      <c r="N395" s="6"/>
      <c r="O395" s="133"/>
      <c r="P395" s="133"/>
      <c r="Q395" s="136"/>
      <c r="R395" s="37">
        <f t="shared" si="18"/>
        <v>0</v>
      </c>
    </row>
    <row r="396" spans="2:18" ht="13.5" customHeight="1">
      <c r="B396" s="22" t="s">
        <v>10</v>
      </c>
      <c r="C396" s="197"/>
      <c r="D396" s="98"/>
      <c r="E396" s="107"/>
      <c r="F396" s="98"/>
      <c r="G396" s="95"/>
      <c r="H396" s="97"/>
      <c r="I396" s="97"/>
      <c r="J396" s="95"/>
      <c r="K396" s="36"/>
      <c r="L396" s="29"/>
      <c r="M396" s="36"/>
      <c r="N396" s="4"/>
      <c r="O396" s="133"/>
      <c r="P396" s="133"/>
      <c r="Q396" s="136"/>
      <c r="R396" s="37">
        <f t="shared" si="18"/>
        <v>0</v>
      </c>
    </row>
    <row r="397" spans="2:18" ht="13.5" customHeight="1">
      <c r="B397" s="22" t="s">
        <v>11</v>
      </c>
      <c r="C397" s="197"/>
      <c r="D397" s="98"/>
      <c r="E397" s="107"/>
      <c r="F397" s="98"/>
      <c r="G397" s="95"/>
      <c r="H397" s="97"/>
      <c r="I397" s="97"/>
      <c r="J397" s="98"/>
      <c r="K397" s="36"/>
      <c r="L397" s="29"/>
      <c r="M397" s="29"/>
      <c r="N397" s="4"/>
      <c r="O397" s="133"/>
      <c r="P397" s="153"/>
      <c r="Q397" s="136"/>
      <c r="R397" s="37">
        <f t="shared" si="18"/>
        <v>0</v>
      </c>
    </row>
    <row r="398" spans="2:18" ht="13.5" customHeight="1">
      <c r="B398" s="22" t="s">
        <v>13</v>
      </c>
      <c r="C398" s="197"/>
      <c r="D398" s="98"/>
      <c r="E398" s="107"/>
      <c r="F398" s="98"/>
      <c r="G398" s="95"/>
      <c r="H398" s="97"/>
      <c r="I398" s="97"/>
      <c r="J398" s="95"/>
      <c r="K398" s="4"/>
      <c r="L398" s="29"/>
      <c r="M398" s="36"/>
      <c r="N398" s="4"/>
      <c r="O398" s="133"/>
      <c r="P398" s="133"/>
      <c r="Q398" s="136"/>
      <c r="R398" s="37">
        <f t="shared" si="18"/>
        <v>0</v>
      </c>
    </row>
    <row r="399" spans="2:18" ht="13.5" customHeight="1">
      <c r="B399" s="22" t="s">
        <v>14</v>
      </c>
      <c r="C399" s="197"/>
      <c r="D399" s="98"/>
      <c r="E399" s="107"/>
      <c r="F399" s="98"/>
      <c r="G399" s="95"/>
      <c r="H399" s="97"/>
      <c r="I399" s="97"/>
      <c r="J399" s="96"/>
      <c r="K399" s="29"/>
      <c r="L399" s="29"/>
      <c r="M399" s="36"/>
      <c r="N399" s="4"/>
      <c r="O399" s="133"/>
      <c r="P399" s="133"/>
      <c r="Q399" s="136"/>
      <c r="R399" s="37">
        <f t="shared" si="18"/>
        <v>0</v>
      </c>
    </row>
    <row r="400" spans="2:18" ht="13.5" customHeight="1">
      <c r="B400" s="22" t="s">
        <v>15</v>
      </c>
      <c r="C400" s="197"/>
      <c r="D400" s="98"/>
      <c r="E400" s="107"/>
      <c r="F400" s="98"/>
      <c r="G400" s="95"/>
      <c r="H400" s="97"/>
      <c r="I400" s="97"/>
      <c r="J400" s="98"/>
      <c r="K400" s="4"/>
      <c r="L400" s="29"/>
      <c r="M400" s="36"/>
      <c r="N400" s="4"/>
      <c r="O400" s="133"/>
      <c r="P400" s="133"/>
      <c r="Q400" s="136"/>
      <c r="R400" s="37">
        <f t="shared" si="18"/>
        <v>0</v>
      </c>
    </row>
    <row r="401" spans="2:18" ht="13.5" customHeight="1">
      <c r="B401" s="22" t="s">
        <v>16</v>
      </c>
      <c r="C401" s="197"/>
      <c r="D401" s="98"/>
      <c r="E401" s="107"/>
      <c r="F401" s="98"/>
      <c r="G401" s="95"/>
      <c r="H401" s="97"/>
      <c r="I401" s="97"/>
      <c r="J401" s="95"/>
      <c r="K401" s="4"/>
      <c r="L401" s="29"/>
      <c r="M401" s="36"/>
      <c r="N401" s="6"/>
      <c r="O401" s="133"/>
      <c r="P401" s="133"/>
      <c r="Q401" s="136"/>
      <c r="R401" s="37">
        <f t="shared" si="18"/>
        <v>0</v>
      </c>
    </row>
    <row r="402" spans="2:18" ht="13.5" customHeight="1">
      <c r="B402" s="22" t="s">
        <v>17</v>
      </c>
      <c r="C402" s="197"/>
      <c r="D402" s="98"/>
      <c r="E402" s="107"/>
      <c r="F402" s="98"/>
      <c r="G402" s="95"/>
      <c r="H402" s="97"/>
      <c r="I402" s="97"/>
      <c r="J402" s="95"/>
      <c r="K402" s="4"/>
      <c r="L402" s="29"/>
      <c r="M402" s="36"/>
      <c r="N402" s="29"/>
      <c r="O402" s="133"/>
      <c r="P402" s="133"/>
      <c r="Q402" s="136"/>
      <c r="R402" s="37">
        <f t="shared" si="18"/>
        <v>0</v>
      </c>
    </row>
    <row r="403" spans="2:18" ht="13.5" customHeight="1">
      <c r="B403" s="22" t="s">
        <v>18</v>
      </c>
      <c r="C403" s="197"/>
      <c r="D403" s="98"/>
      <c r="E403" s="107"/>
      <c r="F403" s="98"/>
      <c r="G403" s="95"/>
      <c r="H403" s="97"/>
      <c r="I403" s="97"/>
      <c r="J403" s="95"/>
      <c r="K403" s="4"/>
      <c r="L403" s="29"/>
      <c r="M403" s="29"/>
      <c r="N403" s="6"/>
      <c r="O403" s="133"/>
      <c r="P403" s="133"/>
      <c r="Q403" s="136"/>
      <c r="R403" s="37">
        <f t="shared" si="18"/>
        <v>0</v>
      </c>
    </row>
    <row r="404" spans="2:18" ht="13.5" customHeight="1">
      <c r="B404" s="22" t="s">
        <v>19</v>
      </c>
      <c r="C404" s="197"/>
      <c r="D404" s="98"/>
      <c r="E404" s="107"/>
      <c r="F404" s="98"/>
      <c r="G404" s="95"/>
      <c r="H404" s="97"/>
      <c r="I404" s="97"/>
      <c r="J404" s="95"/>
      <c r="K404" s="4"/>
      <c r="L404" s="29"/>
      <c r="M404" s="36"/>
      <c r="N404" s="4"/>
      <c r="O404" s="133"/>
      <c r="P404" s="133"/>
      <c r="Q404" s="136"/>
      <c r="R404" s="37">
        <f t="shared" si="18"/>
        <v>0</v>
      </c>
    </row>
    <row r="405" spans="2:18" ht="13.5" customHeight="1">
      <c r="B405" s="22" t="s">
        <v>20</v>
      </c>
      <c r="C405" s="198"/>
      <c r="D405" s="95"/>
      <c r="E405" s="107"/>
      <c r="F405" s="98"/>
      <c r="G405" s="95"/>
      <c r="H405" s="97"/>
      <c r="I405" s="97"/>
      <c r="J405" s="96"/>
      <c r="K405" s="4"/>
      <c r="L405" s="29"/>
      <c r="M405" s="36"/>
      <c r="N405" s="29"/>
      <c r="O405" s="133"/>
      <c r="P405" s="133"/>
      <c r="Q405" s="136"/>
      <c r="R405" s="37">
        <f t="shared" si="18"/>
        <v>0</v>
      </c>
    </row>
    <row r="406" spans="2:18" ht="13.5" customHeight="1">
      <c r="B406" s="22" t="s">
        <v>21</v>
      </c>
      <c r="C406" s="198"/>
      <c r="D406" s="96"/>
      <c r="E406" s="107"/>
      <c r="F406" s="98"/>
      <c r="G406" s="95"/>
      <c r="H406" s="97"/>
      <c r="I406" s="97"/>
      <c r="J406" s="95"/>
      <c r="K406" s="29"/>
      <c r="L406" s="29"/>
      <c r="M406" s="36"/>
      <c r="N406" s="4"/>
      <c r="O406" s="133"/>
      <c r="P406" s="133"/>
      <c r="Q406" s="136"/>
      <c r="R406" s="37">
        <f t="shared" si="18"/>
        <v>0</v>
      </c>
    </row>
    <row r="407" spans="2:18" ht="13.5" customHeight="1">
      <c r="B407" s="22" t="s">
        <v>22</v>
      </c>
      <c r="C407" s="198"/>
      <c r="D407" s="96"/>
      <c r="E407" s="107"/>
      <c r="F407" s="98"/>
      <c r="G407" s="95"/>
      <c r="H407" s="97"/>
      <c r="I407" s="97"/>
      <c r="J407" s="95"/>
      <c r="K407" s="4"/>
      <c r="L407" s="29"/>
      <c r="M407" s="36"/>
      <c r="N407" s="4"/>
      <c r="O407" s="133"/>
      <c r="P407" s="133"/>
      <c r="Q407" s="136"/>
      <c r="R407" s="37">
        <f t="shared" si="18"/>
        <v>0</v>
      </c>
    </row>
    <row r="408" spans="2:18" ht="13.5" customHeight="1">
      <c r="B408" s="22" t="s">
        <v>23</v>
      </c>
      <c r="C408" s="198"/>
      <c r="D408" s="96"/>
      <c r="E408" s="107"/>
      <c r="F408" s="98"/>
      <c r="G408" s="95"/>
      <c r="H408" s="97"/>
      <c r="I408" s="97"/>
      <c r="J408" s="98"/>
      <c r="K408" s="4"/>
      <c r="L408" s="29"/>
      <c r="M408" s="36"/>
      <c r="N408" s="4"/>
      <c r="O408" s="133"/>
      <c r="P408" s="133"/>
      <c r="Q408" s="136"/>
      <c r="R408" s="37">
        <f t="shared" si="18"/>
        <v>0</v>
      </c>
    </row>
    <row r="409" spans="2:18" ht="13.5" customHeight="1">
      <c r="B409" s="22" t="s">
        <v>24</v>
      </c>
      <c r="C409" s="198"/>
      <c r="D409" s="96"/>
      <c r="E409" s="107"/>
      <c r="F409" s="98"/>
      <c r="G409" s="95"/>
      <c r="H409" s="97"/>
      <c r="I409" s="97"/>
      <c r="J409" s="99"/>
      <c r="K409" s="4"/>
      <c r="L409" s="29"/>
      <c r="M409" s="36"/>
      <c r="N409" s="4"/>
      <c r="O409" s="133"/>
      <c r="P409" s="133"/>
      <c r="Q409" s="136"/>
      <c r="R409" s="37">
        <f t="shared" si="18"/>
        <v>0</v>
      </c>
    </row>
    <row r="410" spans="2:18" ht="13.5" customHeight="1">
      <c r="B410" s="22" t="s">
        <v>25</v>
      </c>
      <c r="C410" s="198"/>
      <c r="D410" s="96"/>
      <c r="E410" s="107"/>
      <c r="F410" s="98"/>
      <c r="G410" s="95"/>
      <c r="H410" s="98"/>
      <c r="I410" s="98"/>
      <c r="J410" s="98"/>
      <c r="K410" s="4"/>
      <c r="L410" s="29"/>
      <c r="M410" s="4"/>
      <c r="N410" s="4"/>
      <c r="O410" s="133"/>
      <c r="P410" s="133"/>
      <c r="Q410" s="136"/>
      <c r="R410" s="37">
        <f t="shared" si="18"/>
        <v>0</v>
      </c>
    </row>
    <row r="411" spans="2:18" ht="13.5" customHeight="1">
      <c r="B411" s="22" t="s">
        <v>26</v>
      </c>
      <c r="C411" s="198"/>
      <c r="D411" s="96"/>
      <c r="E411" s="107"/>
      <c r="F411" s="98"/>
      <c r="G411" s="95"/>
      <c r="H411" s="98"/>
      <c r="I411" s="98"/>
      <c r="J411" s="98"/>
      <c r="K411" s="4"/>
      <c r="L411" s="29"/>
      <c r="M411" s="4"/>
      <c r="N411" s="4"/>
      <c r="O411" s="133"/>
      <c r="P411" s="133"/>
      <c r="Q411" s="136"/>
      <c r="R411" s="37">
        <f t="shared" si="18"/>
        <v>0</v>
      </c>
    </row>
    <row r="412" spans="2:18" ht="13.5" customHeight="1">
      <c r="B412" s="22" t="s">
        <v>27</v>
      </c>
      <c r="C412" s="198"/>
      <c r="D412" s="96"/>
      <c r="E412" s="107"/>
      <c r="F412" s="98"/>
      <c r="G412" s="95"/>
      <c r="H412" s="98"/>
      <c r="I412" s="98"/>
      <c r="J412" s="98"/>
      <c r="K412" s="4"/>
      <c r="L412" s="29"/>
      <c r="M412" s="4"/>
      <c r="N412" s="4"/>
      <c r="O412" s="133"/>
      <c r="P412" s="133"/>
      <c r="Q412" s="136"/>
      <c r="R412" s="37">
        <f t="shared" si="18"/>
        <v>0</v>
      </c>
    </row>
    <row r="413" spans="2:18" ht="13.5" customHeight="1">
      <c r="B413" s="22" t="s">
        <v>28</v>
      </c>
      <c r="C413" s="198"/>
      <c r="D413" s="96"/>
      <c r="E413" s="107"/>
      <c r="F413" s="98"/>
      <c r="G413" s="95"/>
      <c r="H413" s="96"/>
      <c r="I413" s="98"/>
      <c r="J413" s="98"/>
      <c r="K413" s="4"/>
      <c r="L413" s="29"/>
      <c r="M413" s="4"/>
      <c r="N413" s="4"/>
      <c r="O413" s="133"/>
      <c r="P413" s="133"/>
      <c r="Q413" s="136"/>
      <c r="R413" s="37">
        <f t="shared" si="18"/>
        <v>0</v>
      </c>
    </row>
    <row r="414" spans="2:18" ht="13.5" customHeight="1">
      <c r="B414" s="22" t="s">
        <v>29</v>
      </c>
      <c r="C414" s="198"/>
      <c r="D414" s="96"/>
      <c r="E414" s="107"/>
      <c r="F414" s="98"/>
      <c r="G414" s="95"/>
      <c r="H414" s="96"/>
      <c r="I414" s="98"/>
      <c r="J414" s="98"/>
      <c r="K414" s="4"/>
      <c r="L414" s="29"/>
      <c r="M414" s="4"/>
      <c r="N414" s="4"/>
      <c r="O414" s="133"/>
      <c r="P414" s="133"/>
      <c r="Q414" s="136"/>
      <c r="R414" s="37">
        <f t="shared" si="18"/>
        <v>0</v>
      </c>
    </row>
    <row r="415" spans="2:18" ht="13.5" customHeight="1">
      <c r="B415" s="22" t="s">
        <v>30</v>
      </c>
      <c r="C415" s="198"/>
      <c r="D415" s="96"/>
      <c r="E415" s="107"/>
      <c r="F415" s="98"/>
      <c r="G415" s="95"/>
      <c r="H415" s="96"/>
      <c r="I415" s="98"/>
      <c r="J415" s="98"/>
      <c r="K415" s="4"/>
      <c r="L415" s="29"/>
      <c r="M415" s="4"/>
      <c r="N415" s="4"/>
      <c r="O415" s="133"/>
      <c r="P415" s="133"/>
      <c r="Q415" s="136"/>
      <c r="R415" s="37">
        <f t="shared" si="18"/>
        <v>0</v>
      </c>
    </row>
    <row r="416" spans="2:18" ht="13.5" customHeight="1">
      <c r="B416" s="22" t="s">
        <v>31</v>
      </c>
      <c r="C416" s="198"/>
      <c r="D416" s="96"/>
      <c r="E416" s="107"/>
      <c r="F416" s="98"/>
      <c r="G416" s="95"/>
      <c r="H416" s="96"/>
      <c r="I416" s="98"/>
      <c r="J416" s="98"/>
      <c r="K416" s="4"/>
      <c r="L416" s="29"/>
      <c r="M416" s="36"/>
      <c r="N416" s="4"/>
      <c r="O416" s="133"/>
      <c r="P416" s="133"/>
      <c r="Q416" s="136"/>
      <c r="R416" s="37">
        <f t="shared" si="18"/>
        <v>0</v>
      </c>
    </row>
    <row r="417" spans="2:18" ht="13.5" customHeight="1">
      <c r="B417" s="22" t="s">
        <v>32</v>
      </c>
      <c r="C417" s="198"/>
      <c r="D417" s="96"/>
      <c r="E417" s="107"/>
      <c r="F417" s="98"/>
      <c r="G417" s="95"/>
      <c r="H417" s="96"/>
      <c r="I417" s="98"/>
      <c r="J417" s="98"/>
      <c r="K417" s="4"/>
      <c r="L417" s="29"/>
      <c r="M417" s="4"/>
      <c r="N417" s="4"/>
      <c r="O417" s="133"/>
      <c r="P417" s="133"/>
      <c r="Q417" s="136"/>
      <c r="R417" s="37">
        <f t="shared" si="18"/>
        <v>0</v>
      </c>
    </row>
    <row r="418" spans="2:18" ht="13.5" customHeight="1">
      <c r="B418" s="23" t="s">
        <v>33</v>
      </c>
      <c r="C418" s="198"/>
      <c r="D418" s="96"/>
      <c r="E418" s="107"/>
      <c r="F418" s="100"/>
      <c r="G418" s="95"/>
      <c r="H418" s="96"/>
      <c r="I418" s="100"/>
      <c r="J418" s="100"/>
      <c r="K418" s="4"/>
      <c r="L418" s="29"/>
      <c r="M418" s="4"/>
      <c r="N418" s="4"/>
      <c r="O418" s="133"/>
      <c r="P418" s="133"/>
      <c r="Q418" s="136"/>
      <c r="R418" s="37">
        <f t="shared" si="18"/>
        <v>0</v>
      </c>
    </row>
    <row r="419" spans="2:18" ht="13.5" customHeight="1">
      <c r="B419" s="23" t="s">
        <v>34</v>
      </c>
      <c r="C419" s="198"/>
      <c r="D419" s="96"/>
      <c r="E419" s="107"/>
      <c r="F419" s="100"/>
      <c r="G419" s="95"/>
      <c r="H419" s="100"/>
      <c r="I419" s="100"/>
      <c r="J419" s="100"/>
      <c r="K419" s="4"/>
      <c r="L419" s="29"/>
      <c r="M419" s="4"/>
      <c r="N419" s="4"/>
      <c r="O419" s="133"/>
      <c r="P419" s="133"/>
      <c r="Q419" s="136"/>
      <c r="R419" s="37">
        <f t="shared" si="18"/>
        <v>0</v>
      </c>
    </row>
    <row r="420" spans="2:18" ht="13.5" customHeight="1">
      <c r="B420" s="23" t="s">
        <v>37</v>
      </c>
      <c r="C420" s="198"/>
      <c r="D420" s="96"/>
      <c r="E420" s="96"/>
      <c r="F420" s="100"/>
      <c r="G420" s="95"/>
      <c r="H420" s="95"/>
      <c r="I420" s="100"/>
      <c r="J420" s="101"/>
      <c r="K420" s="4"/>
      <c r="L420" s="29"/>
      <c r="M420" s="109"/>
      <c r="N420" s="4"/>
      <c r="O420" s="133"/>
      <c r="P420" s="133"/>
      <c r="Q420" s="136"/>
      <c r="R420" s="37">
        <f t="shared" si="18"/>
        <v>0</v>
      </c>
    </row>
    <row r="421" spans="2:18" ht="13.5" customHeight="1" thickBot="1">
      <c r="B421" s="24" t="s">
        <v>38</v>
      </c>
      <c r="C421" s="199"/>
      <c r="D421" s="108"/>
      <c r="E421" s="102"/>
      <c r="F421" s="103"/>
      <c r="G421" s="102"/>
      <c r="H421" s="108"/>
      <c r="I421" s="103"/>
      <c r="J421" s="102"/>
      <c r="K421" s="54"/>
      <c r="L421" s="55"/>
      <c r="M421" s="110"/>
      <c r="N421" s="54"/>
      <c r="O421" s="134"/>
      <c r="P421" s="134"/>
      <c r="Q421" s="138"/>
      <c r="R421" s="220">
        <f t="shared" si="18"/>
        <v>0</v>
      </c>
    </row>
    <row r="422" spans="2:18" ht="13.5" customHeight="1" thickBot="1">
      <c r="B422" s="32" t="s">
        <v>12</v>
      </c>
      <c r="C422" s="115">
        <f>SUM(C405:C421)</f>
        <v>0</v>
      </c>
      <c r="D422" s="115">
        <f>SUM(D405:D421)</f>
        <v>0</v>
      </c>
      <c r="E422" s="298">
        <f>SUM(E386:E420)+E421</f>
        <v>0</v>
      </c>
      <c r="F422" s="176">
        <f aca="true" t="shared" si="19" ref="F422:Q422">SUM(F386:F420)</f>
        <v>0</v>
      </c>
      <c r="G422" s="176">
        <f>SUM(G386:G420)</f>
        <v>0</v>
      </c>
      <c r="H422" s="176">
        <f>SUM(H386:H420)</f>
        <v>0</v>
      </c>
      <c r="I422" s="176">
        <f t="shared" si="19"/>
        <v>0</v>
      </c>
      <c r="J422" s="176">
        <f t="shared" si="19"/>
        <v>0</v>
      </c>
      <c r="K422" s="176">
        <f t="shared" si="19"/>
        <v>0</v>
      </c>
      <c r="L422" s="176">
        <f t="shared" si="19"/>
        <v>0</v>
      </c>
      <c r="M422" s="176">
        <f t="shared" si="19"/>
        <v>0</v>
      </c>
      <c r="N422" s="185">
        <f t="shared" si="19"/>
        <v>0</v>
      </c>
      <c r="O422" s="185">
        <f t="shared" si="19"/>
        <v>0</v>
      </c>
      <c r="P422" s="185">
        <f t="shared" si="19"/>
        <v>0</v>
      </c>
      <c r="Q422" s="186">
        <f t="shared" si="19"/>
        <v>0</v>
      </c>
      <c r="R422" s="27">
        <f>SUM(R386:R420)+R421</f>
        <v>0</v>
      </c>
    </row>
    <row r="423" spans="2:18" ht="13.5" customHeight="1" thickBot="1">
      <c r="B423" s="80"/>
      <c r="C423" s="122">
        <v>2110</v>
      </c>
      <c r="D423" s="122">
        <v>2111</v>
      </c>
      <c r="E423" s="233">
        <v>2210</v>
      </c>
      <c r="F423" s="181">
        <v>2220</v>
      </c>
      <c r="G423" s="181">
        <v>2230</v>
      </c>
      <c r="H423" s="181">
        <v>2240</v>
      </c>
      <c r="I423" s="181">
        <v>2800</v>
      </c>
      <c r="J423" s="181">
        <v>2250</v>
      </c>
      <c r="K423" s="182">
        <v>2272</v>
      </c>
      <c r="L423" s="182">
        <v>2273</v>
      </c>
      <c r="M423" s="181">
        <v>2274</v>
      </c>
      <c r="N423" s="181">
        <v>2275</v>
      </c>
      <c r="O423" s="181">
        <v>3110</v>
      </c>
      <c r="P423" s="182">
        <v>2282</v>
      </c>
      <c r="Q423" s="183">
        <v>2730</v>
      </c>
      <c r="R423" s="27">
        <f>E422+F422+G422+H422+K422+L422+M422+N422+O422+P422+Q422+J422</f>
        <v>0</v>
      </c>
    </row>
    <row r="424" spans="2:18" ht="13.5" customHeight="1">
      <c r="B424" s="63"/>
      <c r="C424" s="118"/>
      <c r="D424" s="118"/>
      <c r="E424" s="316"/>
      <c r="F424" s="316"/>
      <c r="G424" s="316"/>
      <c r="H424" s="316"/>
      <c r="I424" s="316"/>
      <c r="J424" s="316"/>
      <c r="K424" s="317"/>
      <c r="L424" s="317"/>
      <c r="M424" s="316"/>
      <c r="N424" s="244"/>
      <c r="O424" s="317"/>
      <c r="P424" s="208"/>
      <c r="Q424" s="208"/>
      <c r="R424" s="62">
        <f>SUM(E424:Q424)</f>
        <v>0</v>
      </c>
    </row>
    <row r="425" spans="2:18" ht="13.5" customHeight="1">
      <c r="B425" s="435"/>
      <c r="C425" s="435"/>
      <c r="D425" s="435"/>
      <c r="E425" s="435"/>
      <c r="F425" s="435"/>
      <c r="G425" s="435"/>
      <c r="H425" s="435"/>
      <c r="I425" s="435"/>
      <c r="J425" s="435"/>
      <c r="K425" s="435"/>
      <c r="L425" s="435"/>
      <c r="M425" s="435"/>
      <c r="N425" s="435"/>
      <c r="O425" s="435"/>
      <c r="P425" s="435"/>
      <c r="Q425" s="435"/>
      <c r="R425" s="435"/>
    </row>
    <row r="426" spans="2:18" ht="13.5" customHeight="1">
      <c r="B426" s="64"/>
      <c r="C426" s="64"/>
      <c r="D426" s="64"/>
      <c r="E426" s="64"/>
      <c r="F426" s="64"/>
      <c r="G426" s="64"/>
      <c r="H426" s="64"/>
      <c r="I426" s="64"/>
      <c r="J426" s="64"/>
      <c r="K426" s="64"/>
      <c r="L426" s="64"/>
      <c r="M426" s="64"/>
      <c r="N426" s="64"/>
      <c r="O426" s="64"/>
      <c r="P426" s="64"/>
      <c r="Q426" s="64"/>
      <c r="R426" s="64"/>
    </row>
    <row r="427" spans="2:18" ht="13.5" customHeight="1">
      <c r="B427" s="64"/>
      <c r="C427" s="64"/>
      <c r="D427" s="64"/>
      <c r="E427" s="64"/>
      <c r="F427" s="64"/>
      <c r="G427" s="64"/>
      <c r="H427" s="64"/>
      <c r="I427" s="64"/>
      <c r="J427" s="64"/>
      <c r="K427" s="64"/>
      <c r="L427" s="64"/>
      <c r="M427" s="64"/>
      <c r="N427" s="64"/>
      <c r="O427" s="64"/>
      <c r="P427" s="64"/>
      <c r="Q427" s="64"/>
      <c r="R427" s="64"/>
    </row>
    <row r="428" spans="2:18" ht="13.5" customHeight="1" thickBot="1">
      <c r="B428" s="435" t="s">
        <v>51</v>
      </c>
      <c r="C428" s="435"/>
      <c r="D428" s="435"/>
      <c r="E428" s="435"/>
      <c r="F428" s="435"/>
      <c r="G428" s="435"/>
      <c r="H428" s="435"/>
      <c r="I428" s="435"/>
      <c r="J428" s="435"/>
      <c r="K428" s="435"/>
      <c r="L428" s="435"/>
      <c r="M428" s="435"/>
      <c r="N428" s="435"/>
      <c r="O428" s="435"/>
      <c r="P428" s="435"/>
      <c r="Q428" s="435"/>
      <c r="R428" s="435"/>
    </row>
    <row r="429" spans="2:18" ht="13.5" customHeight="1" thickBot="1">
      <c r="B429" s="64"/>
      <c r="C429" s="75"/>
      <c r="D429" s="76"/>
      <c r="E429" s="119">
        <v>1131</v>
      </c>
      <c r="F429" s="120">
        <v>1132</v>
      </c>
      <c r="G429" s="120">
        <v>1133</v>
      </c>
      <c r="H429" s="120">
        <v>1134</v>
      </c>
      <c r="I429" s="120">
        <v>1135</v>
      </c>
      <c r="J429" s="120">
        <v>1140</v>
      </c>
      <c r="K429" s="15">
        <v>1162</v>
      </c>
      <c r="L429" s="15">
        <v>1163</v>
      </c>
      <c r="M429" s="121">
        <v>1164</v>
      </c>
      <c r="N429" s="121">
        <v>1166</v>
      </c>
      <c r="O429" s="121">
        <v>2110</v>
      </c>
      <c r="P429" s="15">
        <v>1172</v>
      </c>
      <c r="Q429" s="15">
        <v>1343</v>
      </c>
      <c r="R429" s="77"/>
    </row>
    <row r="430" spans="2:18" ht="13.5" customHeight="1" thickBot="1">
      <c r="B430" s="25" t="s">
        <v>36</v>
      </c>
      <c r="C430" s="73">
        <v>2110</v>
      </c>
      <c r="D430" s="73">
        <v>2111</v>
      </c>
      <c r="E430" s="117">
        <v>2210</v>
      </c>
      <c r="F430" s="123">
        <v>2220</v>
      </c>
      <c r="G430" s="123">
        <v>2230</v>
      </c>
      <c r="H430" s="123">
        <v>2240</v>
      </c>
      <c r="I430" s="123">
        <v>2800</v>
      </c>
      <c r="J430" s="123">
        <v>2250</v>
      </c>
      <c r="K430" s="74">
        <v>2272</v>
      </c>
      <c r="L430" s="74">
        <v>2273</v>
      </c>
      <c r="M430" s="124">
        <v>2274</v>
      </c>
      <c r="N430" s="124">
        <v>2275</v>
      </c>
      <c r="O430" s="124">
        <v>3110</v>
      </c>
      <c r="P430" s="74">
        <v>2282</v>
      </c>
      <c r="Q430" s="125">
        <v>2271</v>
      </c>
      <c r="R430" s="79" t="s">
        <v>35</v>
      </c>
    </row>
    <row r="431" spans="2:18" ht="13.5" customHeight="1">
      <c r="B431" s="21" t="s">
        <v>0</v>
      </c>
      <c r="C431" s="43"/>
      <c r="D431" s="44"/>
      <c r="E431" s="105"/>
      <c r="F431" s="94"/>
      <c r="G431" s="92"/>
      <c r="H431" s="92"/>
      <c r="I431" s="92"/>
      <c r="J431" s="92"/>
      <c r="K431" s="209"/>
      <c r="L431" s="28"/>
      <c r="M431" s="132"/>
      <c r="N431" s="48"/>
      <c r="O431" s="132"/>
      <c r="P431" s="132"/>
      <c r="Q431" s="135"/>
      <c r="R431" s="31">
        <f>SUM(E431:P431)</f>
        <v>0</v>
      </c>
    </row>
    <row r="432" spans="2:18" ht="13.5" customHeight="1">
      <c r="B432" s="22" t="s">
        <v>1</v>
      </c>
      <c r="C432" s="17"/>
      <c r="D432" s="3"/>
      <c r="E432" s="106"/>
      <c r="F432" s="98"/>
      <c r="G432" s="95"/>
      <c r="H432" s="97"/>
      <c r="I432" s="97"/>
      <c r="J432" s="96"/>
      <c r="K432" s="36"/>
      <c r="L432" s="29"/>
      <c r="M432" s="29"/>
      <c r="N432" s="6"/>
      <c r="O432" s="133"/>
      <c r="P432" s="133"/>
      <c r="Q432" s="136"/>
      <c r="R432" s="37">
        <f>SUM(E432:P432)</f>
        <v>0</v>
      </c>
    </row>
    <row r="433" spans="2:18" ht="13.5" customHeight="1">
      <c r="B433" s="22" t="s">
        <v>2</v>
      </c>
      <c r="C433" s="17"/>
      <c r="D433" s="3"/>
      <c r="E433" s="106"/>
      <c r="F433" s="98"/>
      <c r="G433" s="95"/>
      <c r="H433" s="97"/>
      <c r="I433" s="97"/>
      <c r="J433" s="95"/>
      <c r="K433" s="36"/>
      <c r="L433" s="29"/>
      <c r="M433" s="29"/>
      <c r="N433" s="6"/>
      <c r="O433" s="133"/>
      <c r="P433" s="133"/>
      <c r="Q433" s="136"/>
      <c r="R433" s="37">
        <f>SUM(E433:P433)</f>
        <v>0</v>
      </c>
    </row>
    <row r="434" spans="2:18" ht="13.5" customHeight="1">
      <c r="B434" s="22" t="s">
        <v>3</v>
      </c>
      <c r="C434" s="17"/>
      <c r="D434" s="3"/>
      <c r="E434" s="106"/>
      <c r="F434" s="98"/>
      <c r="G434" s="95"/>
      <c r="H434" s="97"/>
      <c r="I434" s="97"/>
      <c r="J434" s="95"/>
      <c r="K434" s="36"/>
      <c r="L434" s="29"/>
      <c r="M434" s="29"/>
      <c r="N434" s="6"/>
      <c r="O434" s="133"/>
      <c r="P434" s="133"/>
      <c r="Q434" s="136"/>
      <c r="R434" s="37">
        <f>SUM(E434:P434)</f>
        <v>0</v>
      </c>
    </row>
    <row r="435" spans="2:18" ht="13.5" customHeight="1">
      <c r="B435" s="22" t="s">
        <v>4</v>
      </c>
      <c r="C435" s="17"/>
      <c r="D435" s="3"/>
      <c r="E435" s="106"/>
      <c r="F435" s="98"/>
      <c r="G435" s="95"/>
      <c r="H435" s="97"/>
      <c r="I435" s="97"/>
      <c r="J435" s="95"/>
      <c r="K435" s="36"/>
      <c r="L435" s="29"/>
      <c r="M435" s="29"/>
      <c r="N435" s="29"/>
      <c r="O435" s="133"/>
      <c r="P435" s="133"/>
      <c r="Q435" s="136"/>
      <c r="R435" s="37">
        <f>SUM(E435:P435)</f>
        <v>0</v>
      </c>
    </row>
    <row r="436" spans="2:18" ht="13.5" customHeight="1">
      <c r="B436" s="22" t="s">
        <v>5</v>
      </c>
      <c r="C436" s="17"/>
      <c r="D436" s="3"/>
      <c r="E436" s="106"/>
      <c r="F436" s="98"/>
      <c r="G436" s="95"/>
      <c r="H436" s="95"/>
      <c r="I436" s="95"/>
      <c r="J436" s="95"/>
      <c r="K436" s="29"/>
      <c r="L436" s="29"/>
      <c r="M436" s="29"/>
      <c r="N436" s="6"/>
      <c r="O436" s="133"/>
      <c r="P436" s="133"/>
      <c r="Q436" s="174"/>
      <c r="R436" s="37">
        <f>SUM(E436:P436)+Q436</f>
        <v>0</v>
      </c>
    </row>
    <row r="437" spans="2:18" ht="13.5" customHeight="1">
      <c r="B437" s="22" t="s">
        <v>6</v>
      </c>
      <c r="C437" s="17"/>
      <c r="D437" s="3"/>
      <c r="E437" s="106"/>
      <c r="F437" s="98"/>
      <c r="G437" s="95"/>
      <c r="H437" s="97"/>
      <c r="I437" s="97"/>
      <c r="J437" s="95"/>
      <c r="K437" s="29"/>
      <c r="L437" s="29"/>
      <c r="M437" s="36"/>
      <c r="N437" s="6"/>
      <c r="O437" s="133"/>
      <c r="P437" s="133"/>
      <c r="Q437" s="136"/>
      <c r="R437" s="37">
        <f aca="true" t="shared" si="20" ref="R437:R466">SUM(E437:P437)</f>
        <v>0</v>
      </c>
    </row>
    <row r="438" spans="2:18" ht="13.5" customHeight="1">
      <c r="B438" s="22" t="s">
        <v>7</v>
      </c>
      <c r="C438" s="17"/>
      <c r="D438" s="3"/>
      <c r="E438" s="106"/>
      <c r="F438" s="99"/>
      <c r="G438" s="95"/>
      <c r="H438" s="97"/>
      <c r="I438" s="97"/>
      <c r="J438" s="96"/>
      <c r="K438" s="29"/>
      <c r="L438" s="29"/>
      <c r="M438" s="36"/>
      <c r="N438" s="4"/>
      <c r="O438" s="133"/>
      <c r="P438" s="133"/>
      <c r="Q438" s="136"/>
      <c r="R438" s="37">
        <f t="shared" si="20"/>
        <v>0</v>
      </c>
    </row>
    <row r="439" spans="2:18" ht="13.5" customHeight="1">
      <c r="B439" s="22" t="s">
        <v>8</v>
      </c>
      <c r="C439" s="17"/>
      <c r="D439" s="3"/>
      <c r="E439" s="106"/>
      <c r="F439" s="98"/>
      <c r="G439" s="95"/>
      <c r="H439" s="97"/>
      <c r="I439" s="97"/>
      <c r="J439" s="95"/>
      <c r="K439" s="36"/>
      <c r="L439" s="29"/>
      <c r="M439" s="36"/>
      <c r="N439" s="6"/>
      <c r="O439" s="133"/>
      <c r="P439" s="133"/>
      <c r="Q439" s="136"/>
      <c r="R439" s="37">
        <f t="shared" si="20"/>
        <v>0</v>
      </c>
    </row>
    <row r="440" spans="2:18" ht="13.5" customHeight="1">
      <c r="B440" s="22" t="s">
        <v>9</v>
      </c>
      <c r="C440" s="17"/>
      <c r="D440" s="3"/>
      <c r="E440" s="107"/>
      <c r="F440" s="98"/>
      <c r="G440" s="95"/>
      <c r="H440" s="97"/>
      <c r="I440" s="97"/>
      <c r="J440" s="95"/>
      <c r="K440" s="36"/>
      <c r="L440" s="29"/>
      <c r="M440" s="29"/>
      <c r="N440" s="6"/>
      <c r="O440" s="133"/>
      <c r="P440" s="133"/>
      <c r="Q440" s="136"/>
      <c r="R440" s="37">
        <f t="shared" si="20"/>
        <v>0</v>
      </c>
    </row>
    <row r="441" spans="2:18" ht="13.5" customHeight="1">
      <c r="B441" s="22" t="s">
        <v>10</v>
      </c>
      <c r="C441" s="17"/>
      <c r="D441" s="3"/>
      <c r="E441" s="107"/>
      <c r="F441" s="98"/>
      <c r="G441" s="95"/>
      <c r="H441" s="97"/>
      <c r="I441" s="97"/>
      <c r="J441" s="96"/>
      <c r="K441" s="36"/>
      <c r="L441" s="29"/>
      <c r="M441" s="36"/>
      <c r="N441" s="4"/>
      <c r="O441" s="133"/>
      <c r="P441" s="133"/>
      <c r="Q441" s="136"/>
      <c r="R441" s="37">
        <f t="shared" si="20"/>
        <v>0</v>
      </c>
    </row>
    <row r="442" spans="2:18" ht="13.5" customHeight="1">
      <c r="B442" s="22" t="s">
        <v>11</v>
      </c>
      <c r="C442" s="17"/>
      <c r="D442" s="3"/>
      <c r="E442" s="107"/>
      <c r="F442" s="98"/>
      <c r="G442" s="95"/>
      <c r="H442" s="97"/>
      <c r="I442" s="97"/>
      <c r="J442" s="95"/>
      <c r="K442" s="29"/>
      <c r="L442" s="29"/>
      <c r="M442" s="29"/>
      <c r="N442" s="4"/>
      <c r="O442" s="133"/>
      <c r="P442" s="133"/>
      <c r="Q442" s="136"/>
      <c r="R442" s="37">
        <f t="shared" si="20"/>
        <v>0</v>
      </c>
    </row>
    <row r="443" spans="2:18" ht="13.5" customHeight="1">
      <c r="B443" s="22" t="s">
        <v>13</v>
      </c>
      <c r="C443" s="17"/>
      <c r="D443" s="3"/>
      <c r="E443" s="107"/>
      <c r="F443" s="98"/>
      <c r="G443" s="95"/>
      <c r="H443" s="97"/>
      <c r="I443" s="97"/>
      <c r="J443" s="96"/>
      <c r="K443" s="36"/>
      <c r="L443" s="29"/>
      <c r="M443" s="36"/>
      <c r="N443" s="4"/>
      <c r="O443" s="133"/>
      <c r="P443" s="133"/>
      <c r="Q443" s="136"/>
      <c r="R443" s="37">
        <f t="shared" si="20"/>
        <v>0</v>
      </c>
    </row>
    <row r="444" spans="2:18" ht="13.5" customHeight="1">
      <c r="B444" s="22" t="s">
        <v>14</v>
      </c>
      <c r="C444" s="17"/>
      <c r="D444" s="3"/>
      <c r="E444" s="107"/>
      <c r="F444" s="98"/>
      <c r="G444" s="95"/>
      <c r="H444" s="97"/>
      <c r="I444" s="97"/>
      <c r="J444" s="95"/>
      <c r="K444" s="36"/>
      <c r="L444" s="29"/>
      <c r="M444" s="36"/>
      <c r="N444" s="4"/>
      <c r="O444" s="133"/>
      <c r="P444" s="133"/>
      <c r="Q444" s="136"/>
      <c r="R444" s="37">
        <f t="shared" si="20"/>
        <v>0</v>
      </c>
    </row>
    <row r="445" spans="2:18" ht="13.5" customHeight="1">
      <c r="B445" s="22" t="s">
        <v>15</v>
      </c>
      <c r="C445" s="17"/>
      <c r="D445" s="3"/>
      <c r="E445" s="107"/>
      <c r="F445" s="98"/>
      <c r="G445" s="95"/>
      <c r="H445" s="97"/>
      <c r="I445" s="97"/>
      <c r="J445" s="95"/>
      <c r="K445" s="36"/>
      <c r="L445" s="29"/>
      <c r="M445" s="36"/>
      <c r="N445" s="4"/>
      <c r="O445" s="133"/>
      <c r="P445" s="133"/>
      <c r="Q445" s="136"/>
      <c r="R445" s="37">
        <f t="shared" si="20"/>
        <v>0</v>
      </c>
    </row>
    <row r="446" spans="2:18" ht="13.5" customHeight="1">
      <c r="B446" s="22" t="s">
        <v>16</v>
      </c>
      <c r="C446" s="17"/>
      <c r="D446" s="3"/>
      <c r="E446" s="107"/>
      <c r="F446" s="98"/>
      <c r="G446" s="95"/>
      <c r="H446" s="97"/>
      <c r="I446" s="97"/>
      <c r="J446" s="95"/>
      <c r="K446" s="36"/>
      <c r="L446" s="29"/>
      <c r="M446" s="36"/>
      <c r="N446" s="6"/>
      <c r="O446" s="133"/>
      <c r="P446" s="133"/>
      <c r="Q446" s="136"/>
      <c r="R446" s="37">
        <f t="shared" si="20"/>
        <v>0</v>
      </c>
    </row>
    <row r="447" spans="2:18" ht="13.5" customHeight="1">
      <c r="B447" s="22" t="s">
        <v>17</v>
      </c>
      <c r="C447" s="17"/>
      <c r="D447" s="3"/>
      <c r="E447" s="107"/>
      <c r="F447" s="98"/>
      <c r="G447" s="95"/>
      <c r="H447" s="97"/>
      <c r="I447" s="97"/>
      <c r="J447" s="95"/>
      <c r="K447" s="36"/>
      <c r="L447" s="29"/>
      <c r="M447" s="36"/>
      <c r="N447" s="4"/>
      <c r="O447" s="133"/>
      <c r="P447" s="133"/>
      <c r="Q447" s="136"/>
      <c r="R447" s="37">
        <f t="shared" si="20"/>
        <v>0</v>
      </c>
    </row>
    <row r="448" spans="2:18" ht="13.5" customHeight="1">
      <c r="B448" s="22" t="s">
        <v>18</v>
      </c>
      <c r="C448" s="17"/>
      <c r="D448" s="3"/>
      <c r="E448" s="107"/>
      <c r="F448" s="98"/>
      <c r="G448" s="95"/>
      <c r="H448" s="97"/>
      <c r="I448" s="97"/>
      <c r="J448" s="95"/>
      <c r="K448" s="36"/>
      <c r="L448" s="29"/>
      <c r="M448" s="29"/>
      <c r="N448" s="6"/>
      <c r="O448" s="133"/>
      <c r="P448" s="133"/>
      <c r="Q448" s="136"/>
      <c r="R448" s="37">
        <f t="shared" si="20"/>
        <v>0</v>
      </c>
    </row>
    <row r="449" spans="2:18" ht="13.5" customHeight="1">
      <c r="B449" s="22" t="s">
        <v>19</v>
      </c>
      <c r="C449" s="17"/>
      <c r="D449" s="3"/>
      <c r="E449" s="107"/>
      <c r="F449" s="98"/>
      <c r="G449" s="95"/>
      <c r="H449" s="97"/>
      <c r="I449" s="97"/>
      <c r="J449" s="95"/>
      <c r="K449" s="36"/>
      <c r="L449" s="29"/>
      <c r="M449" s="36"/>
      <c r="N449" s="4"/>
      <c r="O449" s="133"/>
      <c r="P449" s="133"/>
      <c r="Q449" s="136"/>
      <c r="R449" s="37">
        <f t="shared" si="20"/>
        <v>0</v>
      </c>
    </row>
    <row r="450" spans="2:18" ht="13.5" customHeight="1">
      <c r="B450" s="22" t="s">
        <v>20</v>
      </c>
      <c r="C450" s="58"/>
      <c r="D450" s="11"/>
      <c r="E450" s="107"/>
      <c r="F450" s="98"/>
      <c r="G450" s="95"/>
      <c r="H450" s="97"/>
      <c r="I450" s="97"/>
      <c r="J450" s="95"/>
      <c r="K450" s="36"/>
      <c r="L450" s="29"/>
      <c r="M450" s="36"/>
      <c r="N450" s="29"/>
      <c r="O450" s="133"/>
      <c r="P450" s="133"/>
      <c r="Q450" s="136"/>
      <c r="R450" s="37">
        <f t="shared" si="20"/>
        <v>0</v>
      </c>
    </row>
    <row r="451" spans="2:18" ht="13.5" customHeight="1">
      <c r="B451" s="22" t="s">
        <v>21</v>
      </c>
      <c r="C451" s="58"/>
      <c r="D451" s="10"/>
      <c r="E451" s="107"/>
      <c r="F451" s="98"/>
      <c r="G451" s="95"/>
      <c r="H451" s="97"/>
      <c r="I451" s="97"/>
      <c r="J451" s="95"/>
      <c r="K451" s="29"/>
      <c r="L451" s="29"/>
      <c r="M451" s="36"/>
      <c r="N451" s="4"/>
      <c r="O451" s="133"/>
      <c r="P451" s="133"/>
      <c r="Q451" s="136"/>
      <c r="R451" s="37">
        <f t="shared" si="20"/>
        <v>0</v>
      </c>
    </row>
    <row r="452" spans="2:18" ht="13.5" customHeight="1">
      <c r="B452" s="22" t="s">
        <v>22</v>
      </c>
      <c r="C452" s="58"/>
      <c r="D452" s="10"/>
      <c r="E452" s="107"/>
      <c r="F452" s="98"/>
      <c r="G452" s="95"/>
      <c r="H452" s="97"/>
      <c r="I452" s="97"/>
      <c r="J452" s="95"/>
      <c r="K452" s="36"/>
      <c r="L452" s="29"/>
      <c r="M452" s="36"/>
      <c r="N452" s="4"/>
      <c r="O452" s="133"/>
      <c r="P452" s="133"/>
      <c r="Q452" s="136"/>
      <c r="R452" s="37">
        <f t="shared" si="20"/>
        <v>0</v>
      </c>
    </row>
    <row r="453" spans="2:18" ht="13.5" customHeight="1">
      <c r="B453" s="22" t="s">
        <v>23</v>
      </c>
      <c r="C453" s="58"/>
      <c r="D453" s="10"/>
      <c r="E453" s="107"/>
      <c r="F453" s="98"/>
      <c r="G453" s="95"/>
      <c r="H453" s="97"/>
      <c r="I453" s="97"/>
      <c r="J453" s="96"/>
      <c r="K453" s="36"/>
      <c r="L453" s="29"/>
      <c r="M453" s="29"/>
      <c r="N453" s="4"/>
      <c r="O453" s="133"/>
      <c r="P453" s="133"/>
      <c r="Q453" s="136"/>
      <c r="R453" s="37">
        <f t="shared" si="20"/>
        <v>0</v>
      </c>
    </row>
    <row r="454" spans="2:18" ht="13.5" customHeight="1">
      <c r="B454" s="22" t="s">
        <v>24</v>
      </c>
      <c r="C454" s="58"/>
      <c r="D454" s="10"/>
      <c r="E454" s="107"/>
      <c r="F454" s="98"/>
      <c r="G454" s="95"/>
      <c r="H454" s="97"/>
      <c r="I454" s="97"/>
      <c r="J454" s="95"/>
      <c r="K454" s="36"/>
      <c r="L454" s="29"/>
      <c r="M454" s="36"/>
      <c r="N454" s="4"/>
      <c r="O454" s="133"/>
      <c r="P454" s="133"/>
      <c r="Q454" s="136"/>
      <c r="R454" s="37">
        <f t="shared" si="20"/>
        <v>0</v>
      </c>
    </row>
    <row r="455" spans="2:18" ht="13.5" customHeight="1">
      <c r="B455" s="22" t="s">
        <v>25</v>
      </c>
      <c r="C455" s="58"/>
      <c r="D455" s="10"/>
      <c r="E455" s="107"/>
      <c r="F455" s="98"/>
      <c r="G455" s="95"/>
      <c r="H455" s="98"/>
      <c r="I455" s="98"/>
      <c r="J455" s="96"/>
      <c r="K455" s="36"/>
      <c r="L455" s="29"/>
      <c r="M455" s="4"/>
      <c r="N455" s="4"/>
      <c r="O455" s="133"/>
      <c r="P455" s="133"/>
      <c r="Q455" s="136"/>
      <c r="R455" s="37">
        <f t="shared" si="20"/>
        <v>0</v>
      </c>
    </row>
    <row r="456" spans="2:18" ht="13.5" customHeight="1">
      <c r="B456" s="22" t="s">
        <v>26</v>
      </c>
      <c r="C456" s="58"/>
      <c r="D456" s="10"/>
      <c r="E456" s="107"/>
      <c r="F456" s="98"/>
      <c r="G456" s="95"/>
      <c r="H456" s="96"/>
      <c r="I456" s="98"/>
      <c r="J456" s="98"/>
      <c r="K456" s="29"/>
      <c r="L456" s="29"/>
      <c r="M456" s="4"/>
      <c r="N456" s="4"/>
      <c r="O456" s="133"/>
      <c r="P456" s="133"/>
      <c r="Q456" s="136"/>
      <c r="R456" s="37">
        <f t="shared" si="20"/>
        <v>0</v>
      </c>
    </row>
    <row r="457" spans="2:18" ht="13.5" customHeight="1">
      <c r="B457" s="22" t="s">
        <v>27</v>
      </c>
      <c r="C457" s="58"/>
      <c r="D457" s="10"/>
      <c r="E457" s="107"/>
      <c r="F457" s="98"/>
      <c r="G457" s="95"/>
      <c r="H457" s="98"/>
      <c r="I457" s="98"/>
      <c r="J457" s="98"/>
      <c r="K457" s="4"/>
      <c r="L457" s="29"/>
      <c r="M457" s="4"/>
      <c r="N457" s="4"/>
      <c r="O457" s="133"/>
      <c r="P457" s="133"/>
      <c r="Q457" s="136"/>
      <c r="R457" s="37">
        <f t="shared" si="20"/>
        <v>0</v>
      </c>
    </row>
    <row r="458" spans="2:18" ht="13.5" customHeight="1">
      <c r="B458" s="22" t="s">
        <v>28</v>
      </c>
      <c r="C458" s="58"/>
      <c r="D458" s="10"/>
      <c r="E458" s="107"/>
      <c r="F458" s="98"/>
      <c r="G458" s="95"/>
      <c r="H458" s="98"/>
      <c r="I458" s="98"/>
      <c r="J458" s="98"/>
      <c r="K458" s="4"/>
      <c r="L458" s="29"/>
      <c r="M458" s="4"/>
      <c r="N458" s="4"/>
      <c r="O458" s="133"/>
      <c r="P458" s="133"/>
      <c r="Q458" s="136"/>
      <c r="R458" s="37">
        <f t="shared" si="20"/>
        <v>0</v>
      </c>
    </row>
    <row r="459" spans="2:18" ht="13.5" customHeight="1">
      <c r="B459" s="22" t="s">
        <v>29</v>
      </c>
      <c r="C459" s="58"/>
      <c r="D459" s="10"/>
      <c r="E459" s="107"/>
      <c r="F459" s="98"/>
      <c r="G459" s="95"/>
      <c r="H459" s="98"/>
      <c r="I459" s="98"/>
      <c r="J459" s="98"/>
      <c r="K459" s="4"/>
      <c r="L459" s="29"/>
      <c r="M459" s="4"/>
      <c r="N459" s="4"/>
      <c r="O459" s="133"/>
      <c r="P459" s="133"/>
      <c r="Q459" s="136"/>
      <c r="R459" s="37">
        <f t="shared" si="20"/>
        <v>0</v>
      </c>
    </row>
    <row r="460" spans="2:18" ht="13.5" customHeight="1">
      <c r="B460" s="22" t="s">
        <v>30</v>
      </c>
      <c r="C460" s="58"/>
      <c r="D460" s="10"/>
      <c r="E460" s="107"/>
      <c r="F460" s="98"/>
      <c r="G460" s="95"/>
      <c r="H460" s="98"/>
      <c r="I460" s="98"/>
      <c r="J460" s="98"/>
      <c r="K460" s="4"/>
      <c r="L460" s="29"/>
      <c r="M460" s="4"/>
      <c r="N460" s="4"/>
      <c r="O460" s="133"/>
      <c r="P460" s="133"/>
      <c r="Q460" s="136"/>
      <c r="R460" s="37">
        <f t="shared" si="20"/>
        <v>0</v>
      </c>
    </row>
    <row r="461" spans="2:18" ht="13.5" customHeight="1">
      <c r="B461" s="22" t="s">
        <v>31</v>
      </c>
      <c r="C461" s="58"/>
      <c r="D461" s="10"/>
      <c r="E461" s="107"/>
      <c r="F461" s="98"/>
      <c r="G461" s="95"/>
      <c r="H461" s="98"/>
      <c r="I461" s="98"/>
      <c r="J461" s="98"/>
      <c r="K461" s="4"/>
      <c r="L461" s="29"/>
      <c r="M461" s="36"/>
      <c r="N461" s="4"/>
      <c r="O461" s="133"/>
      <c r="P461" s="133"/>
      <c r="Q461" s="136"/>
      <c r="R461" s="37">
        <f t="shared" si="20"/>
        <v>0</v>
      </c>
    </row>
    <row r="462" spans="2:18" ht="13.5" customHeight="1">
      <c r="B462" s="22" t="s">
        <v>32</v>
      </c>
      <c r="C462" s="58"/>
      <c r="D462" s="10"/>
      <c r="E462" s="107"/>
      <c r="F462" s="98"/>
      <c r="G462" s="95"/>
      <c r="H462" s="98"/>
      <c r="I462" s="98"/>
      <c r="J462" s="98"/>
      <c r="K462" s="4"/>
      <c r="L462" s="29"/>
      <c r="M462" s="4"/>
      <c r="N462" s="4"/>
      <c r="O462" s="133"/>
      <c r="P462" s="133"/>
      <c r="Q462" s="136"/>
      <c r="R462" s="37">
        <f t="shared" si="20"/>
        <v>0</v>
      </c>
    </row>
    <row r="463" spans="2:18" ht="13.5" customHeight="1">
      <c r="B463" s="23" t="s">
        <v>33</v>
      </c>
      <c r="C463" s="58"/>
      <c r="D463" s="10"/>
      <c r="E463" s="107"/>
      <c r="F463" s="100"/>
      <c r="G463" s="95"/>
      <c r="H463" s="100"/>
      <c r="I463" s="100"/>
      <c r="J463" s="100"/>
      <c r="K463" s="4"/>
      <c r="L463" s="29"/>
      <c r="M463" s="4"/>
      <c r="N463" s="4"/>
      <c r="O463" s="133"/>
      <c r="P463" s="133"/>
      <c r="Q463" s="136"/>
      <c r="R463" s="37">
        <f t="shared" si="20"/>
        <v>0</v>
      </c>
    </row>
    <row r="464" spans="2:18" ht="13.5" customHeight="1">
      <c r="B464" s="23" t="s">
        <v>34</v>
      </c>
      <c r="C464" s="58"/>
      <c r="D464" s="10"/>
      <c r="E464" s="107"/>
      <c r="F464" s="100"/>
      <c r="G464" s="95"/>
      <c r="H464" s="100"/>
      <c r="I464" s="100"/>
      <c r="J464" s="100"/>
      <c r="K464" s="4"/>
      <c r="L464" s="29"/>
      <c r="M464" s="4"/>
      <c r="N464" s="4"/>
      <c r="O464" s="133"/>
      <c r="P464" s="133"/>
      <c r="Q464" s="136"/>
      <c r="R464" s="37">
        <f t="shared" si="20"/>
        <v>0</v>
      </c>
    </row>
    <row r="465" spans="2:18" ht="13.5" customHeight="1">
      <c r="B465" s="23" t="s">
        <v>37</v>
      </c>
      <c r="C465" s="58"/>
      <c r="D465" s="10"/>
      <c r="E465" s="96"/>
      <c r="F465" s="100"/>
      <c r="G465" s="95"/>
      <c r="H465" s="100"/>
      <c r="I465" s="100"/>
      <c r="J465" s="101"/>
      <c r="K465" s="4"/>
      <c r="L465" s="29"/>
      <c r="M465" s="109"/>
      <c r="N465" s="4"/>
      <c r="O465" s="133"/>
      <c r="P465" s="133"/>
      <c r="Q465" s="136"/>
      <c r="R465" s="37">
        <f t="shared" si="20"/>
        <v>0</v>
      </c>
    </row>
    <row r="466" spans="2:18" ht="13.5" customHeight="1" thickBot="1">
      <c r="B466" s="24" t="s">
        <v>38</v>
      </c>
      <c r="C466" s="78"/>
      <c r="D466" s="52"/>
      <c r="E466" s="102"/>
      <c r="F466" s="103"/>
      <c r="G466" s="102"/>
      <c r="H466" s="103"/>
      <c r="I466" s="103"/>
      <c r="J466" s="102"/>
      <c r="K466" s="54"/>
      <c r="L466" s="55"/>
      <c r="M466" s="110"/>
      <c r="N466" s="54"/>
      <c r="O466" s="134"/>
      <c r="P466" s="134"/>
      <c r="Q466" s="138"/>
      <c r="R466" s="37">
        <f t="shared" si="20"/>
        <v>0</v>
      </c>
    </row>
    <row r="467" spans="2:18" ht="13.5" customHeight="1" thickBot="1">
      <c r="B467" s="32" t="s">
        <v>12</v>
      </c>
      <c r="C467" s="115">
        <f>SUM(C450:C466)</f>
        <v>0</v>
      </c>
      <c r="D467" s="115">
        <f>SUM(D450:D466)</f>
        <v>0</v>
      </c>
      <c r="E467" s="298">
        <f>SUM(E431:E465)+E466</f>
        <v>0</v>
      </c>
      <c r="F467" s="176">
        <f aca="true" t="shared" si="21" ref="F467:Q467">SUM(F431:F465)</f>
        <v>0</v>
      </c>
      <c r="G467" s="176">
        <f t="shared" si="21"/>
        <v>0</v>
      </c>
      <c r="H467" s="176">
        <f>SUM(H431:H465)</f>
        <v>0</v>
      </c>
      <c r="I467" s="176">
        <f t="shared" si="21"/>
        <v>0</v>
      </c>
      <c r="J467" s="176">
        <f>SUM(J431:J465)+J466</f>
        <v>0</v>
      </c>
      <c r="K467" s="176">
        <f t="shared" si="21"/>
        <v>0</v>
      </c>
      <c r="L467" s="176">
        <f t="shared" si="21"/>
        <v>0</v>
      </c>
      <c r="M467" s="176">
        <f t="shared" si="21"/>
        <v>0</v>
      </c>
      <c r="N467" s="185">
        <f t="shared" si="21"/>
        <v>0</v>
      </c>
      <c r="O467" s="185">
        <f t="shared" si="21"/>
        <v>0</v>
      </c>
      <c r="P467" s="185">
        <f t="shared" si="21"/>
        <v>0</v>
      </c>
      <c r="Q467" s="186">
        <f t="shared" si="21"/>
        <v>0</v>
      </c>
      <c r="R467" s="129">
        <f>SUM(R431:R465)+R466</f>
        <v>0</v>
      </c>
    </row>
    <row r="468" spans="2:18" ht="13.5" customHeight="1" thickBot="1">
      <c r="B468" s="80"/>
      <c r="C468" s="122">
        <v>2110</v>
      </c>
      <c r="D468" s="122">
        <v>2111</v>
      </c>
      <c r="E468" s="233">
        <v>2210</v>
      </c>
      <c r="F468" s="181">
        <v>2220</v>
      </c>
      <c r="G468" s="181">
        <v>2230</v>
      </c>
      <c r="H468" s="181">
        <v>2240</v>
      </c>
      <c r="I468" s="181">
        <v>2800</v>
      </c>
      <c r="J468" s="181">
        <v>2250</v>
      </c>
      <c r="K468" s="182">
        <v>2272</v>
      </c>
      <c r="L468" s="182">
        <v>2273</v>
      </c>
      <c r="M468" s="181">
        <v>2274</v>
      </c>
      <c r="N468" s="181">
        <v>2275</v>
      </c>
      <c r="O468" s="181">
        <v>3110</v>
      </c>
      <c r="P468" s="182">
        <v>2282</v>
      </c>
      <c r="Q468" s="183">
        <v>2271</v>
      </c>
      <c r="R468" s="129">
        <f>E467+F467+G467+H467+K467+L467+M467+N467+O467+P467+Q467+J467</f>
        <v>0</v>
      </c>
    </row>
    <row r="469" spans="2:18" ht="13.5" customHeight="1">
      <c r="B469" s="63"/>
      <c r="C469" s="118"/>
      <c r="D469" s="118"/>
      <c r="E469" s="316"/>
      <c r="F469" s="316"/>
      <c r="G469" s="316"/>
      <c r="H469" s="316"/>
      <c r="I469" s="316"/>
      <c r="J469" s="316"/>
      <c r="K469" s="317"/>
      <c r="L469" s="317"/>
      <c r="M469" s="316"/>
      <c r="N469" s="244"/>
      <c r="O469" s="317"/>
      <c r="P469" s="208"/>
      <c r="Q469" s="208"/>
      <c r="R469" s="131">
        <f>E469+F469+G469+H469+J469+K469+L469+M469+N469+O469+P469+Q469+I469</f>
        <v>0</v>
      </c>
    </row>
    <row r="470" spans="2:18" ht="13.5" customHeight="1">
      <c r="B470" s="435"/>
      <c r="C470" s="435"/>
      <c r="D470" s="435"/>
      <c r="E470" s="435"/>
      <c r="F470" s="435"/>
      <c r="G470" s="435"/>
      <c r="H470" s="435"/>
      <c r="I470" s="435"/>
      <c r="J470" s="435"/>
      <c r="K470" s="435"/>
      <c r="L470" s="435"/>
      <c r="M470" s="435"/>
      <c r="N470" s="435"/>
      <c r="O470" s="435"/>
      <c r="P470" s="435"/>
      <c r="Q470" s="435"/>
      <c r="R470" s="435"/>
    </row>
    <row r="471" spans="2:18" ht="13.5" customHeight="1">
      <c r="B471" s="64"/>
      <c r="C471" s="64"/>
      <c r="D471" s="64"/>
      <c r="E471" s="64"/>
      <c r="F471" s="64"/>
      <c r="G471" s="64"/>
      <c r="H471" s="64"/>
      <c r="I471" s="64"/>
      <c r="J471" s="64"/>
      <c r="K471" s="64"/>
      <c r="L471" s="64"/>
      <c r="M471" s="64"/>
      <c r="N471" s="64"/>
      <c r="O471" s="64"/>
      <c r="P471" s="64"/>
      <c r="Q471" s="64"/>
      <c r="R471" s="64"/>
    </row>
    <row r="472" spans="2:18" ht="13.5" customHeight="1">
      <c r="B472" s="64"/>
      <c r="C472" s="64"/>
      <c r="D472" s="64"/>
      <c r="E472" s="64"/>
      <c r="F472" s="64"/>
      <c r="G472" s="64"/>
      <c r="H472" s="64"/>
      <c r="I472" s="64"/>
      <c r="J472" s="64"/>
      <c r="K472" s="64"/>
      <c r="L472" s="64"/>
      <c r="M472" s="64"/>
      <c r="N472" s="64"/>
      <c r="O472" s="64"/>
      <c r="P472" s="64"/>
      <c r="Q472" s="64"/>
      <c r="R472" s="64"/>
    </row>
    <row r="473" spans="2:18" ht="13.5" customHeight="1" thickBot="1">
      <c r="B473" s="435" t="s">
        <v>53</v>
      </c>
      <c r="C473" s="435"/>
      <c r="D473" s="435"/>
      <c r="E473" s="435"/>
      <c r="F473" s="435"/>
      <c r="G473" s="435"/>
      <c r="H473" s="435"/>
      <c r="I473" s="435"/>
      <c r="J473" s="435"/>
      <c r="K473" s="435"/>
      <c r="L473" s="435"/>
      <c r="M473" s="435"/>
      <c r="N473" s="435"/>
      <c r="O473" s="435"/>
      <c r="P473" s="435"/>
      <c r="Q473" s="435"/>
      <c r="R473" s="435"/>
    </row>
    <row r="474" spans="2:18" ht="13.5" customHeight="1" thickBot="1">
      <c r="B474" s="64"/>
      <c r="C474" s="75"/>
      <c r="D474" s="76"/>
      <c r="E474" s="119">
        <v>1131</v>
      </c>
      <c r="F474" s="120">
        <v>1132</v>
      </c>
      <c r="G474" s="120">
        <v>1133</v>
      </c>
      <c r="H474" s="120">
        <v>1134</v>
      </c>
      <c r="I474" s="120">
        <v>1135</v>
      </c>
      <c r="J474" s="120">
        <v>1140</v>
      </c>
      <c r="K474" s="15">
        <v>1162</v>
      </c>
      <c r="L474" s="15">
        <v>1163</v>
      </c>
      <c r="M474" s="121">
        <v>1164</v>
      </c>
      <c r="N474" s="121">
        <v>1166</v>
      </c>
      <c r="O474" s="121">
        <v>2110</v>
      </c>
      <c r="P474" s="15">
        <v>1172</v>
      </c>
      <c r="Q474" s="15">
        <v>1343</v>
      </c>
      <c r="R474" s="77"/>
    </row>
    <row r="475" spans="2:18" ht="13.5" customHeight="1" thickBot="1">
      <c r="B475" s="25" t="s">
        <v>36</v>
      </c>
      <c r="C475" s="122">
        <v>2110</v>
      </c>
      <c r="D475" s="122">
        <v>2111</v>
      </c>
      <c r="E475" s="117">
        <v>2210</v>
      </c>
      <c r="F475" s="123">
        <v>2220</v>
      </c>
      <c r="G475" s="123">
        <v>2230</v>
      </c>
      <c r="H475" s="123">
        <v>2240</v>
      </c>
      <c r="I475" s="123">
        <v>2800</v>
      </c>
      <c r="J475" s="123">
        <v>2250</v>
      </c>
      <c r="K475" s="74">
        <v>2272</v>
      </c>
      <c r="L475" s="74">
        <v>2273</v>
      </c>
      <c r="M475" s="124">
        <v>2274</v>
      </c>
      <c r="N475" s="124">
        <v>2275</v>
      </c>
      <c r="O475" s="124">
        <v>3110</v>
      </c>
      <c r="P475" s="74">
        <v>2282</v>
      </c>
      <c r="Q475" s="125">
        <v>2271</v>
      </c>
      <c r="R475" s="79" t="s">
        <v>35</v>
      </c>
    </row>
    <row r="476" spans="2:18" ht="13.5" customHeight="1">
      <c r="B476" s="21" t="s">
        <v>0</v>
      </c>
      <c r="C476" s="43"/>
      <c r="D476" s="44"/>
      <c r="E476" s="95"/>
      <c r="F476" s="44"/>
      <c r="G476" s="95"/>
      <c r="H476" s="95"/>
      <c r="I476" s="45"/>
      <c r="J476" s="95"/>
      <c r="K476" s="209"/>
      <c r="L476" s="28"/>
      <c r="M476" s="46"/>
      <c r="N476" s="48"/>
      <c r="O476" s="49"/>
      <c r="P476" s="49"/>
      <c r="Q476" s="200"/>
      <c r="R476" s="31">
        <f>SUM(E476:P476)</f>
        <v>0</v>
      </c>
    </row>
    <row r="477" spans="2:18" ht="13.5" customHeight="1">
      <c r="B477" s="22" t="s">
        <v>1</v>
      </c>
      <c r="C477" s="17"/>
      <c r="D477" s="3"/>
      <c r="E477" s="95"/>
      <c r="F477" s="3"/>
      <c r="G477" s="95"/>
      <c r="H477" s="95"/>
      <c r="I477" s="20"/>
      <c r="J477" s="95"/>
      <c r="K477" s="36"/>
      <c r="L477" s="29"/>
      <c r="M477" s="29"/>
      <c r="N477" s="6"/>
      <c r="O477" s="1"/>
      <c r="P477" s="1"/>
      <c r="Q477" s="201"/>
      <c r="R477" s="37">
        <f>SUM(E477:P477)</f>
        <v>0</v>
      </c>
    </row>
    <row r="478" spans="2:18" ht="13.5" customHeight="1">
      <c r="B478" s="22" t="s">
        <v>2</v>
      </c>
      <c r="C478" s="17"/>
      <c r="D478" s="3"/>
      <c r="E478" s="95"/>
      <c r="F478" s="95"/>
      <c r="G478" s="95"/>
      <c r="H478" s="95"/>
      <c r="I478" s="20"/>
      <c r="J478" s="95"/>
      <c r="K478" s="36"/>
      <c r="L478" s="29"/>
      <c r="M478" s="29"/>
      <c r="N478" s="29"/>
      <c r="O478" s="1"/>
      <c r="P478" s="113"/>
      <c r="Q478" s="201"/>
      <c r="R478" s="37">
        <f>SUM(E478:P478)</f>
        <v>0</v>
      </c>
    </row>
    <row r="479" spans="2:18" ht="13.5" customHeight="1">
      <c r="B479" s="22" t="s">
        <v>3</v>
      </c>
      <c r="C479" s="17"/>
      <c r="D479" s="3"/>
      <c r="E479" s="95"/>
      <c r="F479" s="3"/>
      <c r="G479" s="95"/>
      <c r="H479" s="95"/>
      <c r="I479" s="20"/>
      <c r="J479" s="95"/>
      <c r="K479" s="36"/>
      <c r="L479" s="29"/>
      <c r="M479" s="29"/>
      <c r="N479" s="29"/>
      <c r="O479" s="1"/>
      <c r="P479" s="113"/>
      <c r="Q479" s="201"/>
      <c r="R479" s="37">
        <f>SUM(E479:P479)</f>
        <v>0</v>
      </c>
    </row>
    <row r="480" spans="2:18" ht="13.5" customHeight="1">
      <c r="B480" s="22" t="s">
        <v>4</v>
      </c>
      <c r="C480" s="17"/>
      <c r="D480" s="3"/>
      <c r="E480" s="95"/>
      <c r="F480" s="3"/>
      <c r="G480" s="95"/>
      <c r="H480" s="95"/>
      <c r="I480" s="20"/>
      <c r="J480" s="95"/>
      <c r="K480" s="36"/>
      <c r="L480" s="29"/>
      <c r="M480" s="29"/>
      <c r="N480" s="29"/>
      <c r="O480" s="1"/>
      <c r="P480" s="113"/>
      <c r="Q480" s="201"/>
      <c r="R480" s="37">
        <f>SUM(E480:P480)</f>
        <v>0</v>
      </c>
    </row>
    <row r="481" spans="2:18" ht="13.5" customHeight="1">
      <c r="B481" s="22" t="s">
        <v>5</v>
      </c>
      <c r="C481" s="17"/>
      <c r="D481" s="3"/>
      <c r="E481" s="95"/>
      <c r="F481" s="3"/>
      <c r="G481" s="95"/>
      <c r="H481" s="95"/>
      <c r="I481" s="95"/>
      <c r="J481" s="95"/>
      <c r="K481" s="29"/>
      <c r="L481" s="29"/>
      <c r="M481" s="29"/>
      <c r="N481" s="29"/>
      <c r="O481" s="91"/>
      <c r="P481" s="113"/>
      <c r="Q481" s="90"/>
      <c r="R481" s="37">
        <f>SUM(E481:P481)+Q481</f>
        <v>0</v>
      </c>
    </row>
    <row r="482" spans="2:18" ht="13.5" customHeight="1">
      <c r="B482" s="22" t="s">
        <v>6</v>
      </c>
      <c r="C482" s="17"/>
      <c r="D482" s="3"/>
      <c r="E482" s="95"/>
      <c r="F482" s="3"/>
      <c r="G482" s="95"/>
      <c r="H482" s="95"/>
      <c r="I482" s="20"/>
      <c r="J482" s="95"/>
      <c r="K482" s="36"/>
      <c r="L482" s="29"/>
      <c r="M482" s="29"/>
      <c r="N482" s="29"/>
      <c r="O482" s="1"/>
      <c r="P482" s="113"/>
      <c r="Q482" s="201"/>
      <c r="R482" s="37">
        <f aca="true" t="shared" si="22" ref="R482:R511">SUM(E482:P482)</f>
        <v>0</v>
      </c>
    </row>
    <row r="483" spans="2:18" ht="13.5" customHeight="1">
      <c r="B483" s="22" t="s">
        <v>7</v>
      </c>
      <c r="C483" s="17"/>
      <c r="D483" s="3"/>
      <c r="E483" s="95"/>
      <c r="F483" s="5"/>
      <c r="G483" s="95"/>
      <c r="H483" s="95"/>
      <c r="I483" s="20"/>
      <c r="J483" s="95"/>
      <c r="K483" s="29"/>
      <c r="L483" s="29"/>
      <c r="M483" s="29"/>
      <c r="N483" s="36"/>
      <c r="O483" s="1"/>
      <c r="P483" s="1"/>
      <c r="Q483" s="201"/>
      <c r="R483" s="37">
        <f t="shared" si="22"/>
        <v>0</v>
      </c>
    </row>
    <row r="484" spans="2:18" ht="13.5" customHeight="1">
      <c r="B484" s="22" t="s">
        <v>8</v>
      </c>
      <c r="C484" s="17"/>
      <c r="D484" s="3"/>
      <c r="E484" s="95"/>
      <c r="F484" s="3"/>
      <c r="G484" s="95"/>
      <c r="H484" s="95"/>
      <c r="I484" s="20"/>
      <c r="J484" s="95"/>
      <c r="K484" s="29"/>
      <c r="L484" s="29"/>
      <c r="M484" s="29"/>
      <c r="N484" s="29"/>
      <c r="O484" s="1"/>
      <c r="P484" s="1"/>
      <c r="Q484" s="201"/>
      <c r="R484" s="37">
        <f t="shared" si="22"/>
        <v>0</v>
      </c>
    </row>
    <row r="485" spans="2:18" ht="13.5" customHeight="1">
      <c r="B485" s="22" t="s">
        <v>9</v>
      </c>
      <c r="C485" s="17"/>
      <c r="D485" s="3"/>
      <c r="E485" s="95"/>
      <c r="F485" s="3"/>
      <c r="G485" s="95"/>
      <c r="H485" s="95"/>
      <c r="I485" s="20"/>
      <c r="J485" s="95"/>
      <c r="K485" s="36"/>
      <c r="L485" s="29"/>
      <c r="M485" s="29"/>
      <c r="N485" s="29"/>
      <c r="O485" s="1"/>
      <c r="P485" s="1"/>
      <c r="Q485" s="201"/>
      <c r="R485" s="37">
        <f t="shared" si="22"/>
        <v>0</v>
      </c>
    </row>
    <row r="486" spans="2:18" ht="13.5" customHeight="1">
      <c r="B486" s="22" t="s">
        <v>10</v>
      </c>
      <c r="C486" s="17"/>
      <c r="D486" s="3"/>
      <c r="E486" s="95"/>
      <c r="F486" s="3"/>
      <c r="G486" s="95"/>
      <c r="H486" s="95"/>
      <c r="I486" s="20"/>
      <c r="J486" s="95"/>
      <c r="K486" s="29"/>
      <c r="L486" s="29"/>
      <c r="M486" s="29"/>
      <c r="N486" s="36"/>
      <c r="O486" s="1"/>
      <c r="P486" s="1"/>
      <c r="Q486" s="201"/>
      <c r="R486" s="37">
        <f t="shared" si="22"/>
        <v>0</v>
      </c>
    </row>
    <row r="487" spans="2:18" ht="13.5" customHeight="1">
      <c r="B487" s="22" t="s">
        <v>11</v>
      </c>
      <c r="C487" s="17"/>
      <c r="D487" s="3"/>
      <c r="E487" s="95"/>
      <c r="F487" s="3"/>
      <c r="G487" s="95"/>
      <c r="H487" s="95"/>
      <c r="I487" s="20"/>
      <c r="J487" s="95"/>
      <c r="K487" s="36"/>
      <c r="L487" s="29"/>
      <c r="M487" s="29"/>
      <c r="N487" s="36"/>
      <c r="O487" s="1"/>
      <c r="P487" s="1"/>
      <c r="Q487" s="201"/>
      <c r="R487" s="37">
        <f t="shared" si="22"/>
        <v>0</v>
      </c>
    </row>
    <row r="488" spans="2:18" ht="13.5" customHeight="1">
      <c r="B488" s="22" t="s">
        <v>13</v>
      </c>
      <c r="C488" s="17"/>
      <c r="D488" s="3"/>
      <c r="E488" s="95"/>
      <c r="F488" s="3"/>
      <c r="G488" s="95"/>
      <c r="H488" s="95"/>
      <c r="I488" s="20"/>
      <c r="J488" s="95"/>
      <c r="K488" s="36"/>
      <c r="L488" s="29"/>
      <c r="M488" s="29"/>
      <c r="N488" s="36"/>
      <c r="O488" s="1"/>
      <c r="P488" s="1"/>
      <c r="Q488" s="201"/>
      <c r="R488" s="37">
        <f t="shared" si="22"/>
        <v>0</v>
      </c>
    </row>
    <row r="489" spans="2:18" ht="13.5" customHeight="1">
      <c r="B489" s="22" t="s">
        <v>14</v>
      </c>
      <c r="C489" s="17"/>
      <c r="D489" s="3"/>
      <c r="E489" s="95"/>
      <c r="F489" s="3"/>
      <c r="G489" s="95"/>
      <c r="H489" s="95"/>
      <c r="I489" s="20"/>
      <c r="J489" s="95"/>
      <c r="K489" s="29"/>
      <c r="L489" s="29"/>
      <c r="M489" s="29"/>
      <c r="N489" s="29"/>
      <c r="O489" s="1"/>
      <c r="P489" s="1"/>
      <c r="Q489" s="201"/>
      <c r="R489" s="37">
        <f t="shared" si="22"/>
        <v>0</v>
      </c>
    </row>
    <row r="490" spans="2:18" ht="13.5" customHeight="1">
      <c r="B490" s="22" t="s">
        <v>15</v>
      </c>
      <c r="C490" s="17"/>
      <c r="D490" s="3"/>
      <c r="E490" s="95"/>
      <c r="F490" s="3"/>
      <c r="G490" s="95"/>
      <c r="H490" s="95"/>
      <c r="I490" s="20"/>
      <c r="J490" s="95"/>
      <c r="K490" s="36"/>
      <c r="L490" s="29"/>
      <c r="M490" s="29"/>
      <c r="N490" s="36"/>
      <c r="O490" s="1"/>
      <c r="P490" s="1"/>
      <c r="Q490" s="201"/>
      <c r="R490" s="37">
        <f t="shared" si="22"/>
        <v>0</v>
      </c>
    </row>
    <row r="491" spans="2:18" ht="13.5" customHeight="1">
      <c r="B491" s="22" t="s">
        <v>16</v>
      </c>
      <c r="C491" s="17"/>
      <c r="D491" s="3"/>
      <c r="E491" s="95"/>
      <c r="F491" s="3"/>
      <c r="G491" s="95"/>
      <c r="H491" s="95"/>
      <c r="I491" s="20"/>
      <c r="J491" s="95"/>
      <c r="K491" s="36"/>
      <c r="L491" s="29"/>
      <c r="M491" s="29"/>
      <c r="N491" s="29"/>
      <c r="O491" s="1"/>
      <c r="P491" s="1"/>
      <c r="Q491" s="201"/>
      <c r="R491" s="37">
        <f t="shared" si="22"/>
        <v>0</v>
      </c>
    </row>
    <row r="492" spans="2:18" ht="13.5" customHeight="1">
      <c r="B492" s="22" t="s">
        <v>17</v>
      </c>
      <c r="C492" s="17"/>
      <c r="D492" s="3"/>
      <c r="E492" s="95"/>
      <c r="F492" s="3"/>
      <c r="G492" s="95"/>
      <c r="H492" s="95"/>
      <c r="I492" s="20"/>
      <c r="J492" s="95"/>
      <c r="K492" s="36"/>
      <c r="L492" s="29"/>
      <c r="M492" s="29"/>
      <c r="N492" s="29"/>
      <c r="O492" s="1"/>
      <c r="P492" s="1"/>
      <c r="Q492" s="201"/>
      <c r="R492" s="37">
        <f t="shared" si="22"/>
        <v>0</v>
      </c>
    </row>
    <row r="493" spans="2:18" ht="13.5" customHeight="1">
      <c r="B493" s="22" t="s">
        <v>18</v>
      </c>
      <c r="C493" s="17"/>
      <c r="D493" s="3"/>
      <c r="E493" s="95"/>
      <c r="F493" s="3"/>
      <c r="G493" s="95"/>
      <c r="H493" s="95"/>
      <c r="I493" s="20"/>
      <c r="J493" s="95"/>
      <c r="K493" s="29"/>
      <c r="L493" s="29"/>
      <c r="M493" s="29"/>
      <c r="N493" s="29"/>
      <c r="O493" s="1"/>
      <c r="P493" s="1"/>
      <c r="Q493" s="201"/>
      <c r="R493" s="37">
        <f t="shared" si="22"/>
        <v>0</v>
      </c>
    </row>
    <row r="494" spans="2:18" ht="13.5" customHeight="1">
      <c r="B494" s="22" t="s">
        <v>19</v>
      </c>
      <c r="C494" s="17"/>
      <c r="D494" s="3"/>
      <c r="E494" s="95"/>
      <c r="F494" s="3"/>
      <c r="G494" s="95"/>
      <c r="H494" s="95"/>
      <c r="I494" s="20"/>
      <c r="J494" s="95"/>
      <c r="K494" s="36"/>
      <c r="L494" s="29"/>
      <c r="M494" s="29"/>
      <c r="N494" s="29"/>
      <c r="O494" s="1"/>
      <c r="P494" s="1"/>
      <c r="Q494" s="201"/>
      <c r="R494" s="37">
        <f t="shared" si="22"/>
        <v>0</v>
      </c>
    </row>
    <row r="495" spans="2:18" ht="13.5" customHeight="1">
      <c r="B495" s="22" t="s">
        <v>20</v>
      </c>
      <c r="C495" s="58"/>
      <c r="D495" s="11"/>
      <c r="E495" s="95"/>
      <c r="F495" s="3"/>
      <c r="G495" s="95"/>
      <c r="H495" s="95"/>
      <c r="I495" s="20"/>
      <c r="J495" s="95"/>
      <c r="K495" s="36"/>
      <c r="L495" s="29"/>
      <c r="M495" s="29"/>
      <c r="N495" s="29"/>
      <c r="O495" s="1"/>
      <c r="P495" s="1"/>
      <c r="Q495" s="201"/>
      <c r="R495" s="37">
        <f t="shared" si="22"/>
        <v>0</v>
      </c>
    </row>
    <row r="496" spans="2:18" ht="13.5" customHeight="1">
      <c r="B496" s="22" t="s">
        <v>21</v>
      </c>
      <c r="C496" s="58"/>
      <c r="D496" s="10"/>
      <c r="E496" s="95"/>
      <c r="F496" s="3"/>
      <c r="G496" s="95"/>
      <c r="H496" s="95"/>
      <c r="I496" s="20"/>
      <c r="J496" s="95"/>
      <c r="K496" s="29"/>
      <c r="L496" s="29"/>
      <c r="M496" s="29"/>
      <c r="N496" s="29"/>
      <c r="O496" s="1"/>
      <c r="P496" s="1"/>
      <c r="Q496" s="201"/>
      <c r="R496" s="37">
        <f t="shared" si="22"/>
        <v>0</v>
      </c>
    </row>
    <row r="497" spans="2:18" ht="13.5" customHeight="1">
      <c r="B497" s="22" t="s">
        <v>22</v>
      </c>
      <c r="C497" s="58"/>
      <c r="D497" s="10"/>
      <c r="E497" s="95"/>
      <c r="F497" s="3"/>
      <c r="G497" s="95"/>
      <c r="H497" s="95"/>
      <c r="I497" s="20"/>
      <c r="J497" s="95"/>
      <c r="K497" s="36"/>
      <c r="L497" s="29"/>
      <c r="M497" s="29"/>
      <c r="N497" s="29"/>
      <c r="O497" s="1"/>
      <c r="P497" s="1"/>
      <c r="Q497" s="201"/>
      <c r="R497" s="37">
        <f t="shared" si="22"/>
        <v>0</v>
      </c>
    </row>
    <row r="498" spans="2:18" ht="13.5" customHeight="1">
      <c r="B498" s="22" t="s">
        <v>23</v>
      </c>
      <c r="C498" s="58"/>
      <c r="D498" s="10"/>
      <c r="E498" s="95"/>
      <c r="F498" s="3"/>
      <c r="G498" s="95"/>
      <c r="H498" s="95"/>
      <c r="I498" s="20"/>
      <c r="J498" s="95"/>
      <c r="K498" s="29"/>
      <c r="L498" s="29"/>
      <c r="M498" s="29"/>
      <c r="N498" s="4"/>
      <c r="O498" s="1"/>
      <c r="P498" s="1"/>
      <c r="Q498" s="201"/>
      <c r="R498" s="37">
        <f t="shared" si="22"/>
        <v>0</v>
      </c>
    </row>
    <row r="499" spans="2:18" ht="13.5" customHeight="1">
      <c r="B499" s="22" t="s">
        <v>24</v>
      </c>
      <c r="C499" s="58"/>
      <c r="D499" s="10"/>
      <c r="E499" s="95"/>
      <c r="F499" s="3"/>
      <c r="G499" s="95"/>
      <c r="H499" s="95"/>
      <c r="I499" s="20"/>
      <c r="J499" s="95"/>
      <c r="K499" s="36"/>
      <c r="L499" s="29"/>
      <c r="M499" s="29"/>
      <c r="N499" s="4"/>
      <c r="O499" s="1"/>
      <c r="P499" s="1"/>
      <c r="Q499" s="201"/>
      <c r="R499" s="37">
        <f t="shared" si="22"/>
        <v>0</v>
      </c>
    </row>
    <row r="500" spans="2:18" ht="13.5" customHeight="1">
      <c r="B500" s="22" t="s">
        <v>25</v>
      </c>
      <c r="C500" s="58"/>
      <c r="D500" s="10"/>
      <c r="E500" s="95"/>
      <c r="F500" s="3"/>
      <c r="G500" s="95"/>
      <c r="H500" s="95"/>
      <c r="I500" s="3"/>
      <c r="J500" s="95"/>
      <c r="K500" s="36"/>
      <c r="L500" s="29"/>
      <c r="M500" s="29"/>
      <c r="N500" s="4"/>
      <c r="O500" s="1"/>
      <c r="P500" s="1"/>
      <c r="Q500" s="201"/>
      <c r="R500" s="37">
        <f t="shared" si="22"/>
        <v>0</v>
      </c>
    </row>
    <row r="501" spans="2:18" ht="13.5" customHeight="1">
      <c r="B501" s="22" t="s">
        <v>26</v>
      </c>
      <c r="C501" s="58"/>
      <c r="D501" s="10"/>
      <c r="E501" s="95"/>
      <c r="F501" s="3"/>
      <c r="G501" s="95"/>
      <c r="H501" s="95"/>
      <c r="I501" s="3"/>
      <c r="J501" s="95"/>
      <c r="K501" s="36"/>
      <c r="L501" s="29"/>
      <c r="M501" s="29"/>
      <c r="N501" s="4"/>
      <c r="O501" s="1"/>
      <c r="P501" s="1"/>
      <c r="Q501" s="201"/>
      <c r="R501" s="37">
        <f t="shared" si="22"/>
        <v>0</v>
      </c>
    </row>
    <row r="502" spans="2:18" ht="13.5" customHeight="1">
      <c r="B502" s="22" t="s">
        <v>27</v>
      </c>
      <c r="C502" s="58"/>
      <c r="D502" s="10"/>
      <c r="E502" s="95"/>
      <c r="F502" s="3"/>
      <c r="G502" s="95"/>
      <c r="H502" s="95"/>
      <c r="I502" s="3"/>
      <c r="J502" s="95"/>
      <c r="K502" s="36"/>
      <c r="L502" s="29"/>
      <c r="M502" s="29"/>
      <c r="N502" s="4"/>
      <c r="O502" s="1"/>
      <c r="P502" s="1"/>
      <c r="Q502" s="201"/>
      <c r="R502" s="37">
        <f t="shared" si="22"/>
        <v>0</v>
      </c>
    </row>
    <row r="503" spans="2:18" ht="13.5" customHeight="1">
      <c r="B503" s="22" t="s">
        <v>28</v>
      </c>
      <c r="C503" s="58"/>
      <c r="D503" s="10"/>
      <c r="E503" s="95"/>
      <c r="F503" s="3"/>
      <c r="G503" s="95"/>
      <c r="H503" s="95"/>
      <c r="I503" s="3"/>
      <c r="J503" s="95"/>
      <c r="K503" s="36"/>
      <c r="L503" s="29"/>
      <c r="M503" s="29"/>
      <c r="N503" s="4"/>
      <c r="O503" s="1"/>
      <c r="P503" s="1"/>
      <c r="Q503" s="201"/>
      <c r="R503" s="37">
        <f t="shared" si="22"/>
        <v>0</v>
      </c>
    </row>
    <row r="504" spans="2:18" ht="13.5" customHeight="1">
      <c r="B504" s="22" t="s">
        <v>29</v>
      </c>
      <c r="C504" s="58"/>
      <c r="D504" s="10"/>
      <c r="E504" s="95"/>
      <c r="F504" s="3"/>
      <c r="G504" s="95"/>
      <c r="H504" s="95"/>
      <c r="I504" s="3"/>
      <c r="J504" s="95"/>
      <c r="K504" s="36"/>
      <c r="L504" s="29"/>
      <c r="M504" s="29"/>
      <c r="N504" s="4"/>
      <c r="O504" s="1"/>
      <c r="P504" s="1"/>
      <c r="Q504" s="201"/>
      <c r="R504" s="37">
        <f t="shared" si="22"/>
        <v>0</v>
      </c>
    </row>
    <row r="505" spans="2:18" ht="13.5" customHeight="1">
      <c r="B505" s="22" t="s">
        <v>30</v>
      </c>
      <c r="C505" s="58"/>
      <c r="D505" s="10"/>
      <c r="E505" s="95"/>
      <c r="F505" s="3"/>
      <c r="G505" s="95"/>
      <c r="H505" s="95"/>
      <c r="I505" s="3"/>
      <c r="J505" s="95"/>
      <c r="K505" s="36"/>
      <c r="L505" s="29"/>
      <c r="M505" s="4"/>
      <c r="N505" s="4"/>
      <c r="O505" s="1"/>
      <c r="P505" s="1"/>
      <c r="Q505" s="201"/>
      <c r="R505" s="37">
        <f t="shared" si="22"/>
        <v>0</v>
      </c>
    </row>
    <row r="506" spans="2:18" ht="13.5" customHeight="1">
      <c r="B506" s="22" t="s">
        <v>31</v>
      </c>
      <c r="C506" s="58"/>
      <c r="D506" s="10"/>
      <c r="E506" s="95"/>
      <c r="F506" s="3"/>
      <c r="G506" s="95"/>
      <c r="H506" s="95"/>
      <c r="I506" s="3"/>
      <c r="J506" s="95"/>
      <c r="K506" s="36"/>
      <c r="L506" s="29"/>
      <c r="M506" s="36"/>
      <c r="N506" s="29"/>
      <c r="O506" s="1"/>
      <c r="P506" s="1"/>
      <c r="Q506" s="201"/>
      <c r="R506" s="37">
        <f t="shared" si="22"/>
        <v>0</v>
      </c>
    </row>
    <row r="507" spans="2:18" ht="13.5" customHeight="1">
      <c r="B507" s="22" t="s">
        <v>32</v>
      </c>
      <c r="C507" s="58"/>
      <c r="D507" s="10"/>
      <c r="E507" s="95"/>
      <c r="F507" s="3"/>
      <c r="G507" s="95"/>
      <c r="H507" s="95"/>
      <c r="I507" s="3"/>
      <c r="J507" s="95"/>
      <c r="K507" s="36"/>
      <c r="L507" s="29"/>
      <c r="M507" s="4"/>
      <c r="N507" s="4"/>
      <c r="O507" s="1"/>
      <c r="P507" s="1"/>
      <c r="Q507" s="201"/>
      <c r="R507" s="37">
        <f t="shared" si="22"/>
        <v>0</v>
      </c>
    </row>
    <row r="508" spans="2:18" ht="13.5" customHeight="1">
      <c r="B508" s="23" t="s">
        <v>33</v>
      </c>
      <c r="C508" s="58"/>
      <c r="D508" s="10"/>
      <c r="E508" s="95"/>
      <c r="F508" s="7"/>
      <c r="G508" s="95"/>
      <c r="H508" s="95"/>
      <c r="I508" s="7"/>
      <c r="J508" s="95"/>
      <c r="K508" s="36"/>
      <c r="L508" s="29"/>
      <c r="M508" s="4"/>
      <c r="N508" s="4"/>
      <c r="O508" s="1"/>
      <c r="P508" s="1"/>
      <c r="Q508" s="201"/>
      <c r="R508" s="37">
        <f t="shared" si="22"/>
        <v>0</v>
      </c>
    </row>
    <row r="509" spans="2:18" ht="13.5" customHeight="1">
      <c r="B509" s="23" t="s">
        <v>34</v>
      </c>
      <c r="C509" s="58"/>
      <c r="D509" s="10"/>
      <c r="E509" s="95"/>
      <c r="F509" s="7"/>
      <c r="G509" s="95"/>
      <c r="H509" s="95"/>
      <c r="I509" s="7"/>
      <c r="J509" s="95"/>
      <c r="K509" s="36"/>
      <c r="L509" s="29"/>
      <c r="M509" s="4"/>
      <c r="N509" s="4"/>
      <c r="O509" s="1"/>
      <c r="P509" s="1"/>
      <c r="Q509" s="201"/>
      <c r="R509" s="37">
        <f t="shared" si="22"/>
        <v>0</v>
      </c>
    </row>
    <row r="510" spans="2:18" ht="13.5" customHeight="1">
      <c r="B510" s="23" t="s">
        <v>37</v>
      </c>
      <c r="C510" s="58"/>
      <c r="D510" s="10"/>
      <c r="E510" s="95"/>
      <c r="F510" s="7"/>
      <c r="G510" s="95"/>
      <c r="H510" s="95"/>
      <c r="I510" s="7"/>
      <c r="J510" s="95"/>
      <c r="K510" s="36"/>
      <c r="L510" s="29"/>
      <c r="M510" s="41"/>
      <c r="N510" s="4"/>
      <c r="O510" s="1"/>
      <c r="P510" s="1"/>
      <c r="Q510" s="26"/>
      <c r="R510" s="37">
        <f t="shared" si="22"/>
        <v>0</v>
      </c>
    </row>
    <row r="511" spans="2:18" ht="13.5" customHeight="1" thickBot="1">
      <c r="B511" s="24" t="s">
        <v>38</v>
      </c>
      <c r="C511" s="61"/>
      <c r="D511" s="59"/>
      <c r="E511" s="95"/>
      <c r="F511" s="67"/>
      <c r="G511" s="202"/>
      <c r="H511" s="19"/>
      <c r="I511" s="67"/>
      <c r="J511" s="66"/>
      <c r="K511" s="38"/>
      <c r="L511" s="30"/>
      <c r="M511" s="69"/>
      <c r="N511" s="68"/>
      <c r="O511" s="203"/>
      <c r="P511" s="203"/>
      <c r="Q511" s="204"/>
      <c r="R511" s="37">
        <f t="shared" si="22"/>
        <v>0</v>
      </c>
    </row>
    <row r="512" spans="2:18" ht="13.5" customHeight="1" thickBot="1">
      <c r="B512" s="32" t="s">
        <v>12</v>
      </c>
      <c r="C512" s="13">
        <f>SUM(C495:C511)</f>
        <v>0</v>
      </c>
      <c r="D512" s="13">
        <f>SUM(D495:D511)</f>
        <v>0</v>
      </c>
      <c r="E512" s="318">
        <f>SUM(E476:E511)</f>
        <v>0</v>
      </c>
      <c r="F512" s="318">
        <f>SUM(F476:F511)</f>
        <v>0</v>
      </c>
      <c r="G512" s="318">
        <f aca="true" t="shared" si="23" ref="G512:P512">SUM(G476:G511)</f>
        <v>0</v>
      </c>
      <c r="H512" s="318">
        <f>SUM(H476:H511)</f>
        <v>0</v>
      </c>
      <c r="I512" s="318">
        <f t="shared" si="23"/>
        <v>0</v>
      </c>
      <c r="J512" s="318">
        <f t="shared" si="23"/>
        <v>0</v>
      </c>
      <c r="K512" s="318">
        <f t="shared" si="23"/>
        <v>0</v>
      </c>
      <c r="L512" s="318">
        <f t="shared" si="23"/>
        <v>0</v>
      </c>
      <c r="M512" s="318">
        <f>SUM(M476:M511)</f>
        <v>0</v>
      </c>
      <c r="N512" s="318">
        <f t="shared" si="23"/>
        <v>0</v>
      </c>
      <c r="O512" s="318">
        <f t="shared" si="23"/>
        <v>0</v>
      </c>
      <c r="P512" s="318">
        <f t="shared" si="23"/>
        <v>0</v>
      </c>
      <c r="Q512" s="319">
        <f>SUM(Q481:Q511)</f>
        <v>0</v>
      </c>
      <c r="R512" s="27">
        <f>SUM(R476:R510)+R511</f>
        <v>0</v>
      </c>
    </row>
    <row r="513" spans="2:18" ht="13.5" customHeight="1" thickBot="1">
      <c r="B513" s="71"/>
      <c r="C513" s="206">
        <v>2110</v>
      </c>
      <c r="D513" s="206">
        <v>2111</v>
      </c>
      <c r="E513" s="320">
        <v>2210</v>
      </c>
      <c r="F513" s="321">
        <v>2220</v>
      </c>
      <c r="G513" s="321">
        <v>2230</v>
      </c>
      <c r="H513" s="321">
        <v>2240</v>
      </c>
      <c r="I513" s="321">
        <v>2800</v>
      </c>
      <c r="J513" s="321">
        <v>2250</v>
      </c>
      <c r="K513" s="322">
        <v>2272</v>
      </c>
      <c r="L513" s="322">
        <v>2273</v>
      </c>
      <c r="M513" s="321">
        <v>2274</v>
      </c>
      <c r="N513" s="321">
        <v>2275</v>
      </c>
      <c r="O513" s="321">
        <v>3110</v>
      </c>
      <c r="P513" s="322">
        <v>2282</v>
      </c>
      <c r="Q513" s="323">
        <v>2271</v>
      </c>
      <c r="R513" s="27">
        <f>E512+F512+G512+H512+K512+L512+M512+N512+O512+P512+Q512+J512</f>
        <v>0</v>
      </c>
    </row>
    <row r="514" spans="2:18" ht="13.5" customHeight="1">
      <c r="B514" s="63"/>
      <c r="C514" s="63"/>
      <c r="D514" s="63"/>
      <c r="E514" s="316"/>
      <c r="F514" s="316"/>
      <c r="G514" s="316"/>
      <c r="H514" s="316"/>
      <c r="I514" s="316"/>
      <c r="J514" s="316"/>
      <c r="K514" s="316"/>
      <c r="L514" s="316"/>
      <c r="M514" s="316"/>
      <c r="N514" s="316"/>
      <c r="O514" s="316"/>
      <c r="P514" s="316"/>
      <c r="Q514" s="316"/>
      <c r="R514" s="205">
        <f>E514+F514+G514+H514+J514+K514+L514+M514+N514+O514+P514+Q514</f>
        <v>0</v>
      </c>
    </row>
    <row r="515" spans="2:18" ht="13.5" customHeight="1">
      <c r="B515" s="435"/>
      <c r="C515" s="435"/>
      <c r="D515" s="435"/>
      <c r="E515" s="435"/>
      <c r="F515" s="435"/>
      <c r="G515" s="435"/>
      <c r="H515" s="435"/>
      <c r="I515" s="435"/>
      <c r="J515" s="435"/>
      <c r="K515" s="435"/>
      <c r="L515" s="435"/>
      <c r="M515" s="435"/>
      <c r="N515" s="435"/>
      <c r="O515" s="435"/>
      <c r="P515" s="435"/>
      <c r="Q515" s="435"/>
      <c r="R515" s="435"/>
    </row>
    <row r="516" spans="2:18" ht="13.5" customHeight="1">
      <c r="B516" s="64"/>
      <c r="C516" s="64"/>
      <c r="D516" s="64"/>
      <c r="E516" s="64"/>
      <c r="F516" s="64"/>
      <c r="G516" s="64"/>
      <c r="H516" s="64"/>
      <c r="I516" s="64"/>
      <c r="J516" s="64"/>
      <c r="K516" s="64"/>
      <c r="L516" s="64"/>
      <c r="M516" s="64"/>
      <c r="N516" s="64"/>
      <c r="O516" s="64"/>
      <c r="P516" s="64"/>
      <c r="Q516" s="64"/>
      <c r="R516" s="64"/>
    </row>
    <row r="517" spans="2:18" ht="13.5" customHeight="1">
      <c r="B517" s="64"/>
      <c r="C517" s="64"/>
      <c r="D517" s="64"/>
      <c r="E517" s="64"/>
      <c r="F517" s="64"/>
      <c r="G517" s="64"/>
      <c r="H517" s="64"/>
      <c r="I517" s="64"/>
      <c r="J517" s="64"/>
      <c r="K517" s="64"/>
      <c r="L517" s="64"/>
      <c r="M517" s="64"/>
      <c r="N517" s="64"/>
      <c r="O517" s="64"/>
      <c r="P517" s="64"/>
      <c r="Q517" s="64"/>
      <c r="R517" s="64"/>
    </row>
    <row r="518" spans="2:18" ht="13.5" customHeight="1" thickBot="1">
      <c r="B518" s="435" t="s">
        <v>56</v>
      </c>
      <c r="C518" s="435"/>
      <c r="D518" s="435"/>
      <c r="E518" s="435"/>
      <c r="F518" s="435"/>
      <c r="G518" s="435"/>
      <c r="H518" s="435"/>
      <c r="I518" s="435"/>
      <c r="J518" s="435"/>
      <c r="K518" s="435"/>
      <c r="L518" s="435"/>
      <c r="M518" s="435"/>
      <c r="N518" s="435"/>
      <c r="O518" s="435"/>
      <c r="P518" s="435"/>
      <c r="Q518" s="435"/>
      <c r="R518" s="435"/>
    </row>
    <row r="519" spans="1:18" ht="13.5" customHeight="1" thickBot="1">
      <c r="A519" s="339"/>
      <c r="B519" s="347" t="s">
        <v>36</v>
      </c>
      <c r="C519" s="227">
        <v>2110</v>
      </c>
      <c r="D519" s="227">
        <v>2111</v>
      </c>
      <c r="E519" s="250">
        <v>2210</v>
      </c>
      <c r="F519" s="250">
        <v>2220</v>
      </c>
      <c r="G519" s="250">
        <v>2230</v>
      </c>
      <c r="H519" s="250">
        <v>2240</v>
      </c>
      <c r="I519" s="250">
        <v>2800</v>
      </c>
      <c r="J519" s="250">
        <v>2250</v>
      </c>
      <c r="K519" s="359">
        <v>2272</v>
      </c>
      <c r="L519" s="359">
        <v>2273</v>
      </c>
      <c r="M519" s="250">
        <v>2274</v>
      </c>
      <c r="N519" s="250">
        <v>2275</v>
      </c>
      <c r="O519" s="360">
        <v>3110</v>
      </c>
      <c r="P519" s="359">
        <v>2730</v>
      </c>
      <c r="Q519" s="361">
        <v>2271</v>
      </c>
      <c r="R519" s="253" t="s">
        <v>35</v>
      </c>
    </row>
    <row r="520" spans="1:18" ht="13.5" customHeight="1">
      <c r="A520" s="344">
        <v>1</v>
      </c>
      <c r="B520" s="348" t="s">
        <v>0</v>
      </c>
      <c r="C520" s="193">
        <f aca="true" t="shared" si="24" ref="C520:D551">C4+C43</f>
        <v>0</v>
      </c>
      <c r="D520" s="235">
        <f t="shared" si="24"/>
        <v>0</v>
      </c>
      <c r="E520" s="251">
        <f aca="true" t="shared" si="25" ref="E520:Q520">E4+E43+E82+E121+E165+E209+E254+E298+E386+E342+E431+E476</f>
        <v>0</v>
      </c>
      <c r="F520" s="251">
        <f t="shared" si="25"/>
        <v>0</v>
      </c>
      <c r="G520" s="251">
        <f t="shared" si="25"/>
        <v>0</v>
      </c>
      <c r="H520" s="251">
        <f t="shared" si="25"/>
        <v>0</v>
      </c>
      <c r="I520" s="251">
        <f t="shared" si="25"/>
        <v>0</v>
      </c>
      <c r="J520" s="251">
        <f t="shared" si="25"/>
        <v>0</v>
      </c>
      <c r="K520" s="251">
        <f t="shared" si="25"/>
        <v>0</v>
      </c>
      <c r="L520" s="251">
        <f t="shared" si="25"/>
        <v>0</v>
      </c>
      <c r="M520" s="251">
        <f t="shared" si="25"/>
        <v>0</v>
      </c>
      <c r="N520" s="251">
        <f t="shared" si="25"/>
        <v>0</v>
      </c>
      <c r="O520" s="251">
        <f t="shared" si="25"/>
        <v>0</v>
      </c>
      <c r="P520" s="251">
        <f t="shared" si="25"/>
        <v>0</v>
      </c>
      <c r="Q520" s="362">
        <f t="shared" si="25"/>
        <v>0</v>
      </c>
      <c r="R520" s="363">
        <f>SUM(E520:P520)+Q520</f>
        <v>0</v>
      </c>
    </row>
    <row r="521" spans="1:18" ht="13.5" customHeight="1">
      <c r="A521" s="345">
        <v>2</v>
      </c>
      <c r="B521" s="349" t="s">
        <v>1</v>
      </c>
      <c r="C521" s="194">
        <f t="shared" si="24"/>
        <v>0</v>
      </c>
      <c r="D521" s="236">
        <f t="shared" si="24"/>
        <v>0</v>
      </c>
      <c r="E521" s="251">
        <f aca="true" t="shared" si="26" ref="E521:Q521">E5+E44+E83+E122+E166+E210+E255+E299+E387+E343+E432+E477</f>
        <v>0</v>
      </c>
      <c r="F521" s="251">
        <f t="shared" si="26"/>
        <v>0</v>
      </c>
      <c r="G521" s="251">
        <f t="shared" si="26"/>
        <v>0</v>
      </c>
      <c r="H521" s="251">
        <f t="shared" si="26"/>
        <v>0</v>
      </c>
      <c r="I521" s="251">
        <f t="shared" si="26"/>
        <v>0</v>
      </c>
      <c r="J521" s="251">
        <f t="shared" si="26"/>
        <v>0</v>
      </c>
      <c r="K521" s="251">
        <f t="shared" si="26"/>
        <v>0</v>
      </c>
      <c r="L521" s="251">
        <f t="shared" si="26"/>
        <v>0</v>
      </c>
      <c r="M521" s="251">
        <f t="shared" si="26"/>
        <v>0</v>
      </c>
      <c r="N521" s="251">
        <f t="shared" si="26"/>
        <v>0</v>
      </c>
      <c r="O521" s="251">
        <f t="shared" si="26"/>
        <v>0</v>
      </c>
      <c r="P521" s="251">
        <f t="shared" si="26"/>
        <v>0</v>
      </c>
      <c r="Q521" s="362">
        <f t="shared" si="26"/>
        <v>0</v>
      </c>
      <c r="R521" s="364">
        <f>SUM(E521:P521)+Q521</f>
        <v>0</v>
      </c>
    </row>
    <row r="522" spans="1:18" ht="13.5" customHeight="1">
      <c r="A522" s="345">
        <v>3</v>
      </c>
      <c r="B522" s="349" t="s">
        <v>2</v>
      </c>
      <c r="C522" s="194">
        <f t="shared" si="24"/>
        <v>0</v>
      </c>
      <c r="D522" s="236">
        <f t="shared" si="24"/>
        <v>0</v>
      </c>
      <c r="E522" s="251">
        <f aca="true" t="shared" si="27" ref="E522:Q522">E6+E45+E84+E123+E167+E211+E256+E300+E388+E344+E433+E478</f>
        <v>0</v>
      </c>
      <c r="F522" s="251">
        <f t="shared" si="27"/>
        <v>0</v>
      </c>
      <c r="G522" s="251">
        <f t="shared" si="27"/>
        <v>983.1</v>
      </c>
      <c r="H522" s="251">
        <f t="shared" si="27"/>
        <v>0</v>
      </c>
      <c r="I522" s="251">
        <f t="shared" si="27"/>
        <v>0</v>
      </c>
      <c r="J522" s="251">
        <f t="shared" si="27"/>
        <v>0</v>
      </c>
      <c r="K522" s="251">
        <f t="shared" si="27"/>
        <v>0</v>
      </c>
      <c r="L522" s="251">
        <f t="shared" si="27"/>
        <v>0</v>
      </c>
      <c r="M522" s="251">
        <f t="shared" si="27"/>
        <v>0</v>
      </c>
      <c r="N522" s="251">
        <f t="shared" si="27"/>
        <v>0</v>
      </c>
      <c r="O522" s="251">
        <f t="shared" si="27"/>
        <v>0</v>
      </c>
      <c r="P522" s="251">
        <f t="shared" si="27"/>
        <v>0</v>
      </c>
      <c r="Q522" s="362">
        <f t="shared" si="27"/>
        <v>0</v>
      </c>
      <c r="R522" s="364">
        <f>SUM(E522:P522)+Q522</f>
        <v>983.1</v>
      </c>
    </row>
    <row r="523" spans="1:18" ht="13.5" customHeight="1">
      <c r="A523" s="345">
        <v>4</v>
      </c>
      <c r="B523" s="349" t="s">
        <v>3</v>
      </c>
      <c r="C523" s="194">
        <f t="shared" si="24"/>
        <v>0</v>
      </c>
      <c r="D523" s="236">
        <f t="shared" si="24"/>
        <v>0</v>
      </c>
      <c r="E523" s="251">
        <f aca="true" t="shared" si="28" ref="E523:Q523">E7+E46+E85+E124+E168+E212+E257+E301+E389+E345+E434+E479</f>
        <v>0</v>
      </c>
      <c r="F523" s="251">
        <f t="shared" si="28"/>
        <v>0</v>
      </c>
      <c r="G523" s="251">
        <f t="shared" si="28"/>
        <v>0</v>
      </c>
      <c r="H523" s="251">
        <f t="shared" si="28"/>
        <v>0</v>
      </c>
      <c r="I523" s="251">
        <f t="shared" si="28"/>
        <v>0</v>
      </c>
      <c r="J523" s="251">
        <f t="shared" si="28"/>
        <v>0</v>
      </c>
      <c r="K523" s="251">
        <f t="shared" si="28"/>
        <v>0</v>
      </c>
      <c r="L523" s="251">
        <f t="shared" si="28"/>
        <v>0</v>
      </c>
      <c r="M523" s="251">
        <f t="shared" si="28"/>
        <v>0</v>
      </c>
      <c r="N523" s="251">
        <f t="shared" si="28"/>
        <v>0</v>
      </c>
      <c r="O523" s="251">
        <f t="shared" si="28"/>
        <v>0</v>
      </c>
      <c r="P523" s="251">
        <f t="shared" si="28"/>
        <v>0</v>
      </c>
      <c r="Q523" s="362">
        <f t="shared" si="28"/>
        <v>0</v>
      </c>
      <c r="R523" s="364">
        <f aca="true" t="shared" si="29" ref="R523:R550">SUM(E523:P523)+Q523</f>
        <v>0</v>
      </c>
    </row>
    <row r="524" spans="1:18" ht="13.5" customHeight="1">
      <c r="A524" s="345">
        <v>5</v>
      </c>
      <c r="B524" s="349" t="s">
        <v>4</v>
      </c>
      <c r="C524" s="194">
        <f t="shared" si="24"/>
        <v>0</v>
      </c>
      <c r="D524" s="236">
        <f t="shared" si="24"/>
        <v>0</v>
      </c>
      <c r="E524" s="251">
        <f aca="true" t="shared" si="30" ref="E524:Q524">E8+E47+E86+E125+E169+E213+E258+E302+E390+E346+E435+E480</f>
        <v>0</v>
      </c>
      <c r="F524" s="251">
        <f t="shared" si="30"/>
        <v>0</v>
      </c>
      <c r="G524" s="251">
        <f t="shared" si="30"/>
        <v>154.73</v>
      </c>
      <c r="H524" s="251">
        <f t="shared" si="30"/>
        <v>0</v>
      </c>
      <c r="I524" s="251">
        <f t="shared" si="30"/>
        <v>0</v>
      </c>
      <c r="J524" s="251">
        <f t="shared" si="30"/>
        <v>0</v>
      </c>
      <c r="K524" s="251">
        <f t="shared" si="30"/>
        <v>0</v>
      </c>
      <c r="L524" s="251">
        <f t="shared" si="30"/>
        <v>0</v>
      </c>
      <c r="M524" s="251">
        <f t="shared" si="30"/>
        <v>0</v>
      </c>
      <c r="N524" s="251">
        <f t="shared" si="30"/>
        <v>0</v>
      </c>
      <c r="O524" s="251">
        <f t="shared" si="30"/>
        <v>0</v>
      </c>
      <c r="P524" s="251">
        <f t="shared" si="30"/>
        <v>0</v>
      </c>
      <c r="Q524" s="362">
        <f t="shared" si="30"/>
        <v>0</v>
      </c>
      <c r="R524" s="364">
        <f t="shared" si="29"/>
        <v>154.73</v>
      </c>
    </row>
    <row r="525" spans="1:18" ht="13.5" customHeight="1">
      <c r="A525" s="345">
        <v>6</v>
      </c>
      <c r="B525" s="349" t="s">
        <v>5</v>
      </c>
      <c r="C525" s="194">
        <f t="shared" si="24"/>
        <v>0</v>
      </c>
      <c r="D525" s="236">
        <f t="shared" si="24"/>
        <v>0</v>
      </c>
      <c r="E525" s="251">
        <f aca="true" t="shared" si="31" ref="E525:Q525">E9+E48+E87+E126+E170+E214+E259+E303+E391+E347+E436+E481</f>
        <v>0</v>
      </c>
      <c r="F525" s="251">
        <f t="shared" si="31"/>
        <v>0</v>
      </c>
      <c r="G525" s="251">
        <f t="shared" si="31"/>
        <v>351.64</v>
      </c>
      <c r="H525" s="251">
        <f t="shared" si="31"/>
        <v>0</v>
      </c>
      <c r="I525" s="251">
        <f t="shared" si="31"/>
        <v>0</v>
      </c>
      <c r="J525" s="251">
        <f t="shared" si="31"/>
        <v>0</v>
      </c>
      <c r="K525" s="251">
        <f t="shared" si="31"/>
        <v>0</v>
      </c>
      <c r="L525" s="251">
        <f t="shared" si="31"/>
        <v>0</v>
      </c>
      <c r="M525" s="251">
        <f t="shared" si="31"/>
        <v>0</v>
      </c>
      <c r="N525" s="251">
        <f t="shared" si="31"/>
        <v>0</v>
      </c>
      <c r="O525" s="251">
        <f t="shared" si="31"/>
        <v>0</v>
      </c>
      <c r="P525" s="251">
        <f t="shared" si="31"/>
        <v>0</v>
      </c>
      <c r="Q525" s="362">
        <f t="shared" si="31"/>
        <v>0</v>
      </c>
      <c r="R525" s="364">
        <f>SUM(E525:P525)+Q525</f>
        <v>351.64</v>
      </c>
    </row>
    <row r="526" spans="1:18" ht="13.5" customHeight="1">
      <c r="A526" s="345">
        <v>7</v>
      </c>
      <c r="B526" s="349" t="s">
        <v>6</v>
      </c>
      <c r="C526" s="194">
        <f t="shared" si="24"/>
        <v>0</v>
      </c>
      <c r="D526" s="236">
        <f t="shared" si="24"/>
        <v>0</v>
      </c>
      <c r="E526" s="251">
        <f aca="true" t="shared" si="32" ref="E526:Q526">E10+E49+E88+E127+E171+E215+E260+E304+E392+E348+E437+E482</f>
        <v>0</v>
      </c>
      <c r="F526" s="251">
        <f t="shared" si="32"/>
        <v>0</v>
      </c>
      <c r="G526" s="251">
        <f t="shared" si="32"/>
        <v>68.64</v>
      </c>
      <c r="H526" s="251">
        <f t="shared" si="32"/>
        <v>0</v>
      </c>
      <c r="I526" s="251">
        <f t="shared" si="32"/>
        <v>0</v>
      </c>
      <c r="J526" s="251">
        <f t="shared" si="32"/>
        <v>0</v>
      </c>
      <c r="K526" s="251">
        <f t="shared" si="32"/>
        <v>0</v>
      </c>
      <c r="L526" s="251">
        <f t="shared" si="32"/>
        <v>0</v>
      </c>
      <c r="M526" s="251">
        <f t="shared" si="32"/>
        <v>0</v>
      </c>
      <c r="N526" s="251">
        <f t="shared" si="32"/>
        <v>0</v>
      </c>
      <c r="O526" s="251">
        <f t="shared" si="32"/>
        <v>0</v>
      </c>
      <c r="P526" s="251">
        <f t="shared" si="32"/>
        <v>0</v>
      </c>
      <c r="Q526" s="362">
        <f t="shared" si="32"/>
        <v>0</v>
      </c>
      <c r="R526" s="364">
        <f t="shared" si="29"/>
        <v>68.64</v>
      </c>
    </row>
    <row r="527" spans="1:18" ht="13.5" customHeight="1">
      <c r="A527" s="345">
        <v>8</v>
      </c>
      <c r="B527" s="349" t="s">
        <v>7</v>
      </c>
      <c r="C527" s="194">
        <f t="shared" si="24"/>
        <v>0</v>
      </c>
      <c r="D527" s="236">
        <f t="shared" si="24"/>
        <v>0</v>
      </c>
      <c r="E527" s="251">
        <f aca="true" t="shared" si="33" ref="E527:Q527">E11+E50+E89+E128+E172+E216+E261+E305+E393+E349+E438+E483</f>
        <v>0</v>
      </c>
      <c r="F527" s="251">
        <f t="shared" si="33"/>
        <v>0</v>
      </c>
      <c r="G527" s="251">
        <f t="shared" si="33"/>
        <v>0</v>
      </c>
      <c r="H527" s="251">
        <f t="shared" si="33"/>
        <v>0</v>
      </c>
      <c r="I527" s="251">
        <f t="shared" si="33"/>
        <v>0</v>
      </c>
      <c r="J527" s="251">
        <f t="shared" si="33"/>
        <v>0</v>
      </c>
      <c r="K527" s="251">
        <f t="shared" si="33"/>
        <v>0</v>
      </c>
      <c r="L527" s="251">
        <f t="shared" si="33"/>
        <v>0</v>
      </c>
      <c r="M527" s="251">
        <f t="shared" si="33"/>
        <v>0</v>
      </c>
      <c r="N527" s="251">
        <f t="shared" si="33"/>
        <v>0</v>
      </c>
      <c r="O527" s="251">
        <f t="shared" si="33"/>
        <v>0</v>
      </c>
      <c r="P527" s="251">
        <f t="shared" si="33"/>
        <v>0</v>
      </c>
      <c r="Q527" s="362">
        <f t="shared" si="33"/>
        <v>0</v>
      </c>
      <c r="R527" s="364">
        <f t="shared" si="29"/>
        <v>0</v>
      </c>
    </row>
    <row r="528" spans="1:18" ht="13.5" customHeight="1">
      <c r="A528" s="345">
        <v>9</v>
      </c>
      <c r="B528" s="349" t="s">
        <v>8</v>
      </c>
      <c r="C528" s="194">
        <f t="shared" si="24"/>
        <v>0</v>
      </c>
      <c r="D528" s="236">
        <f t="shared" si="24"/>
        <v>0</v>
      </c>
      <c r="E528" s="251">
        <f aca="true" t="shared" si="34" ref="E528:Q528">E12+E51+E90+E129+E173+E217+E262+E306+E394+E350+E439+E484</f>
        <v>0</v>
      </c>
      <c r="F528" s="251">
        <f t="shared" si="34"/>
        <v>0</v>
      </c>
      <c r="G528" s="251">
        <f t="shared" si="34"/>
        <v>0</v>
      </c>
      <c r="H528" s="251">
        <f t="shared" si="34"/>
        <v>0</v>
      </c>
      <c r="I528" s="251">
        <f t="shared" si="34"/>
        <v>0</v>
      </c>
      <c r="J528" s="251">
        <f t="shared" si="34"/>
        <v>0</v>
      </c>
      <c r="K528" s="251">
        <f t="shared" si="34"/>
        <v>0</v>
      </c>
      <c r="L528" s="251">
        <f t="shared" si="34"/>
        <v>0</v>
      </c>
      <c r="M528" s="251">
        <f t="shared" si="34"/>
        <v>0</v>
      </c>
      <c r="N528" s="251">
        <f t="shared" si="34"/>
        <v>0</v>
      </c>
      <c r="O528" s="251">
        <f t="shared" si="34"/>
        <v>0</v>
      </c>
      <c r="P528" s="251">
        <f t="shared" si="34"/>
        <v>0</v>
      </c>
      <c r="Q528" s="362">
        <f t="shared" si="34"/>
        <v>0</v>
      </c>
      <c r="R528" s="364">
        <f t="shared" si="29"/>
        <v>0</v>
      </c>
    </row>
    <row r="529" spans="1:18" ht="13.5" customHeight="1">
      <c r="A529" s="345">
        <v>10</v>
      </c>
      <c r="B529" s="349" t="s">
        <v>9</v>
      </c>
      <c r="C529" s="194">
        <f t="shared" si="24"/>
        <v>0</v>
      </c>
      <c r="D529" s="236">
        <f t="shared" si="24"/>
        <v>0</v>
      </c>
      <c r="E529" s="251">
        <f aca="true" t="shared" si="35" ref="E529:Q529">E13+E52+E91+E130+E174+E218+E263+E307+E395+E351+E440+E485</f>
        <v>0</v>
      </c>
      <c r="F529" s="251">
        <f t="shared" si="35"/>
        <v>0</v>
      </c>
      <c r="G529" s="251">
        <f t="shared" si="35"/>
        <v>0</v>
      </c>
      <c r="H529" s="251">
        <f t="shared" si="35"/>
        <v>0</v>
      </c>
      <c r="I529" s="251">
        <f t="shared" si="35"/>
        <v>0</v>
      </c>
      <c r="J529" s="251">
        <f t="shared" si="35"/>
        <v>0</v>
      </c>
      <c r="K529" s="251">
        <f t="shared" si="35"/>
        <v>0</v>
      </c>
      <c r="L529" s="251">
        <f t="shared" si="35"/>
        <v>0</v>
      </c>
      <c r="M529" s="251">
        <f t="shared" si="35"/>
        <v>0</v>
      </c>
      <c r="N529" s="251">
        <f t="shared" si="35"/>
        <v>0</v>
      </c>
      <c r="O529" s="251">
        <f t="shared" si="35"/>
        <v>0</v>
      </c>
      <c r="P529" s="251">
        <f t="shared" si="35"/>
        <v>0</v>
      </c>
      <c r="Q529" s="362">
        <f t="shared" si="35"/>
        <v>0</v>
      </c>
      <c r="R529" s="364">
        <f t="shared" si="29"/>
        <v>0</v>
      </c>
    </row>
    <row r="530" spans="1:18" ht="13.5" customHeight="1">
      <c r="A530" s="345">
        <v>11</v>
      </c>
      <c r="B530" s="349" t="s">
        <v>10</v>
      </c>
      <c r="C530" s="194">
        <f t="shared" si="24"/>
        <v>0</v>
      </c>
      <c r="D530" s="236">
        <f t="shared" si="24"/>
        <v>0</v>
      </c>
      <c r="E530" s="251">
        <f aca="true" t="shared" si="36" ref="E530:Q530">E14+E53+E92+E131+E175+E219+E264+E308+E396+E352+E441+E486</f>
        <v>0</v>
      </c>
      <c r="F530" s="251">
        <f t="shared" si="36"/>
        <v>0</v>
      </c>
      <c r="G530" s="251">
        <f t="shared" si="36"/>
        <v>316.97</v>
      </c>
      <c r="H530" s="251">
        <f t="shared" si="36"/>
        <v>0</v>
      </c>
      <c r="I530" s="251">
        <f t="shared" si="36"/>
        <v>0</v>
      </c>
      <c r="J530" s="251">
        <f t="shared" si="36"/>
        <v>0</v>
      </c>
      <c r="K530" s="251">
        <f t="shared" si="36"/>
        <v>0</v>
      </c>
      <c r="L530" s="251">
        <f t="shared" si="36"/>
        <v>0</v>
      </c>
      <c r="M530" s="251">
        <f t="shared" si="36"/>
        <v>0</v>
      </c>
      <c r="N530" s="251">
        <f t="shared" si="36"/>
        <v>0</v>
      </c>
      <c r="O530" s="251">
        <f t="shared" si="36"/>
        <v>0</v>
      </c>
      <c r="P530" s="251">
        <f t="shared" si="36"/>
        <v>0</v>
      </c>
      <c r="Q530" s="362">
        <f t="shared" si="36"/>
        <v>0</v>
      </c>
      <c r="R530" s="364">
        <f t="shared" si="29"/>
        <v>316.97</v>
      </c>
    </row>
    <row r="531" spans="1:18" ht="13.5" customHeight="1">
      <c r="A531" s="345">
        <v>12</v>
      </c>
      <c r="B531" s="349" t="s">
        <v>11</v>
      </c>
      <c r="C531" s="194">
        <f t="shared" si="24"/>
        <v>0</v>
      </c>
      <c r="D531" s="236">
        <f t="shared" si="24"/>
        <v>0</v>
      </c>
      <c r="E531" s="251">
        <f aca="true" t="shared" si="37" ref="E531:Q531">E15+E54+E93+E132+E176+E220+E265+E309+E397+E353+E442+E487</f>
        <v>0</v>
      </c>
      <c r="F531" s="251">
        <f t="shared" si="37"/>
        <v>0</v>
      </c>
      <c r="G531" s="251">
        <f t="shared" si="37"/>
        <v>368.65</v>
      </c>
      <c r="H531" s="251">
        <f t="shared" si="37"/>
        <v>0</v>
      </c>
      <c r="I531" s="251">
        <f t="shared" si="37"/>
        <v>0</v>
      </c>
      <c r="J531" s="251">
        <f t="shared" si="37"/>
        <v>0</v>
      </c>
      <c r="K531" s="251">
        <f t="shared" si="37"/>
        <v>0</v>
      </c>
      <c r="L531" s="251">
        <f t="shared" si="37"/>
        <v>0</v>
      </c>
      <c r="M531" s="251">
        <f t="shared" si="37"/>
        <v>0</v>
      </c>
      <c r="N531" s="251">
        <f t="shared" si="37"/>
        <v>0</v>
      </c>
      <c r="O531" s="251">
        <f t="shared" si="37"/>
        <v>0</v>
      </c>
      <c r="P531" s="251">
        <f t="shared" si="37"/>
        <v>0</v>
      </c>
      <c r="Q531" s="362">
        <f t="shared" si="37"/>
        <v>0</v>
      </c>
      <c r="R531" s="364">
        <f t="shared" si="29"/>
        <v>368.65</v>
      </c>
    </row>
    <row r="532" spans="1:18" ht="13.5" customHeight="1">
      <c r="A532" s="345">
        <v>13</v>
      </c>
      <c r="B532" s="349" t="s">
        <v>13</v>
      </c>
      <c r="C532" s="194">
        <f t="shared" si="24"/>
        <v>0</v>
      </c>
      <c r="D532" s="236">
        <f t="shared" si="24"/>
        <v>0</v>
      </c>
      <c r="E532" s="251">
        <f aca="true" t="shared" si="38" ref="E532:Q532">E16+E55+E94+E133+E177+E221+E266+E310+E398+E354+E443+E488</f>
        <v>0</v>
      </c>
      <c r="F532" s="251">
        <f t="shared" si="38"/>
        <v>0</v>
      </c>
      <c r="G532" s="251">
        <f t="shared" si="38"/>
        <v>0</v>
      </c>
      <c r="H532" s="251">
        <f t="shared" si="38"/>
        <v>0</v>
      </c>
      <c r="I532" s="251">
        <f t="shared" si="38"/>
        <v>0</v>
      </c>
      <c r="J532" s="251">
        <f t="shared" si="38"/>
        <v>0</v>
      </c>
      <c r="K532" s="251">
        <f t="shared" si="38"/>
        <v>0</v>
      </c>
      <c r="L532" s="251">
        <f t="shared" si="38"/>
        <v>0</v>
      </c>
      <c r="M532" s="251">
        <f t="shared" si="38"/>
        <v>0</v>
      </c>
      <c r="N532" s="251">
        <f t="shared" si="38"/>
        <v>0</v>
      </c>
      <c r="O532" s="251">
        <f t="shared" si="38"/>
        <v>0</v>
      </c>
      <c r="P532" s="251">
        <f t="shared" si="38"/>
        <v>0</v>
      </c>
      <c r="Q532" s="362">
        <f t="shared" si="38"/>
        <v>0</v>
      </c>
      <c r="R532" s="364">
        <f t="shared" si="29"/>
        <v>0</v>
      </c>
    </row>
    <row r="533" spans="1:18" ht="13.5" customHeight="1">
      <c r="A533" s="345">
        <v>14</v>
      </c>
      <c r="B533" s="349" t="s">
        <v>14</v>
      </c>
      <c r="C533" s="194">
        <f t="shared" si="24"/>
        <v>0</v>
      </c>
      <c r="D533" s="236">
        <f t="shared" si="24"/>
        <v>0</v>
      </c>
      <c r="E533" s="251">
        <f aca="true" t="shared" si="39" ref="E533:Q533">E17+E56+E95+E134+E178+E222+E267+E311+E399+E355+E444+E489</f>
        <v>0</v>
      </c>
      <c r="F533" s="251">
        <f t="shared" si="39"/>
        <v>0</v>
      </c>
      <c r="G533" s="251">
        <f t="shared" si="39"/>
        <v>0</v>
      </c>
      <c r="H533" s="251">
        <f t="shared" si="39"/>
        <v>0</v>
      </c>
      <c r="I533" s="251">
        <f t="shared" si="39"/>
        <v>0</v>
      </c>
      <c r="J533" s="251">
        <f t="shared" si="39"/>
        <v>0</v>
      </c>
      <c r="K533" s="251">
        <f t="shared" si="39"/>
        <v>0</v>
      </c>
      <c r="L533" s="251">
        <f t="shared" si="39"/>
        <v>0</v>
      </c>
      <c r="M533" s="251">
        <f t="shared" si="39"/>
        <v>0</v>
      </c>
      <c r="N533" s="251">
        <f t="shared" si="39"/>
        <v>0</v>
      </c>
      <c r="O533" s="251">
        <f t="shared" si="39"/>
        <v>0</v>
      </c>
      <c r="P533" s="251">
        <f t="shared" si="39"/>
        <v>0</v>
      </c>
      <c r="Q533" s="362">
        <f t="shared" si="39"/>
        <v>0</v>
      </c>
      <c r="R533" s="364">
        <f t="shared" si="29"/>
        <v>0</v>
      </c>
    </row>
    <row r="534" spans="1:18" ht="13.5" customHeight="1">
      <c r="A534" s="345">
        <v>15</v>
      </c>
      <c r="B534" s="349" t="s">
        <v>15</v>
      </c>
      <c r="C534" s="194">
        <f t="shared" si="24"/>
        <v>0</v>
      </c>
      <c r="D534" s="236">
        <f t="shared" si="24"/>
        <v>0</v>
      </c>
      <c r="E534" s="251">
        <f aca="true" t="shared" si="40" ref="E534:Q534">E18+E57+E96+E135+E179+E223+E268+E312+E400+E356+E445+E490</f>
        <v>0</v>
      </c>
      <c r="F534" s="251">
        <f t="shared" si="40"/>
        <v>0</v>
      </c>
      <c r="G534" s="251">
        <f t="shared" si="40"/>
        <v>0</v>
      </c>
      <c r="H534" s="251">
        <f t="shared" si="40"/>
        <v>0</v>
      </c>
      <c r="I534" s="251">
        <f t="shared" si="40"/>
        <v>0</v>
      </c>
      <c r="J534" s="251">
        <f t="shared" si="40"/>
        <v>0</v>
      </c>
      <c r="K534" s="251">
        <f t="shared" si="40"/>
        <v>0</v>
      </c>
      <c r="L534" s="251">
        <f t="shared" si="40"/>
        <v>0</v>
      </c>
      <c r="M534" s="251">
        <f t="shared" si="40"/>
        <v>0</v>
      </c>
      <c r="N534" s="251">
        <f t="shared" si="40"/>
        <v>0</v>
      </c>
      <c r="O534" s="251">
        <f t="shared" si="40"/>
        <v>0</v>
      </c>
      <c r="P534" s="251">
        <f t="shared" si="40"/>
        <v>0</v>
      </c>
      <c r="Q534" s="362">
        <f t="shared" si="40"/>
        <v>0</v>
      </c>
      <c r="R534" s="364">
        <f t="shared" si="29"/>
        <v>0</v>
      </c>
    </row>
    <row r="535" spans="1:18" ht="13.5" customHeight="1">
      <c r="A535" s="345">
        <v>16</v>
      </c>
      <c r="B535" s="349" t="s">
        <v>16</v>
      </c>
      <c r="C535" s="194">
        <f t="shared" si="24"/>
        <v>0</v>
      </c>
      <c r="D535" s="236">
        <f t="shared" si="24"/>
        <v>0</v>
      </c>
      <c r="E535" s="251">
        <f aca="true" t="shared" si="41" ref="E535:Q535">E19+E58+E97+E136+E180+E224+E269+E313+E401+E357+E446+E491</f>
        <v>0</v>
      </c>
      <c r="F535" s="251">
        <f t="shared" si="41"/>
        <v>0</v>
      </c>
      <c r="G535" s="251">
        <f t="shared" si="41"/>
        <v>1531.97</v>
      </c>
      <c r="H535" s="251">
        <f t="shared" si="41"/>
        <v>0</v>
      </c>
      <c r="I535" s="251">
        <f t="shared" si="41"/>
        <v>0</v>
      </c>
      <c r="J535" s="251">
        <f t="shared" si="41"/>
        <v>0</v>
      </c>
      <c r="K535" s="251">
        <f t="shared" si="41"/>
        <v>0</v>
      </c>
      <c r="L535" s="251">
        <f t="shared" si="41"/>
        <v>0</v>
      </c>
      <c r="M535" s="251">
        <f t="shared" si="41"/>
        <v>0</v>
      </c>
      <c r="N535" s="251">
        <f t="shared" si="41"/>
        <v>0</v>
      </c>
      <c r="O535" s="251">
        <f t="shared" si="41"/>
        <v>0</v>
      </c>
      <c r="P535" s="251">
        <f t="shared" si="41"/>
        <v>0</v>
      </c>
      <c r="Q535" s="362">
        <f t="shared" si="41"/>
        <v>0</v>
      </c>
      <c r="R535" s="364">
        <f t="shared" si="29"/>
        <v>1531.97</v>
      </c>
    </row>
    <row r="536" spans="1:18" ht="13.5" customHeight="1">
      <c r="A536" s="345">
        <v>17</v>
      </c>
      <c r="B536" s="349" t="s">
        <v>17</v>
      </c>
      <c r="C536" s="194">
        <f t="shared" si="24"/>
        <v>0</v>
      </c>
      <c r="D536" s="236">
        <f t="shared" si="24"/>
        <v>0</v>
      </c>
      <c r="E536" s="251">
        <f aca="true" t="shared" si="42" ref="E536:Q536">E20+E59+E98+E137+E181+E225+E270+E314+E402+E358+E447+E492</f>
        <v>0</v>
      </c>
      <c r="F536" s="251">
        <f t="shared" si="42"/>
        <v>0</v>
      </c>
      <c r="G536" s="251">
        <f t="shared" si="42"/>
        <v>398.74</v>
      </c>
      <c r="H536" s="251">
        <f t="shared" si="42"/>
        <v>0</v>
      </c>
      <c r="I536" s="251">
        <f t="shared" si="42"/>
        <v>0</v>
      </c>
      <c r="J536" s="251">
        <f t="shared" si="42"/>
        <v>0</v>
      </c>
      <c r="K536" s="251">
        <f t="shared" si="42"/>
        <v>0</v>
      </c>
      <c r="L536" s="251">
        <f t="shared" si="42"/>
        <v>0</v>
      </c>
      <c r="M536" s="251">
        <f t="shared" si="42"/>
        <v>0</v>
      </c>
      <c r="N536" s="251">
        <f t="shared" si="42"/>
        <v>0</v>
      </c>
      <c r="O536" s="251">
        <f t="shared" si="42"/>
        <v>0</v>
      </c>
      <c r="P536" s="251">
        <f t="shared" si="42"/>
        <v>0</v>
      </c>
      <c r="Q536" s="362">
        <f t="shared" si="42"/>
        <v>0</v>
      </c>
      <c r="R536" s="364">
        <f t="shared" si="29"/>
        <v>398.74</v>
      </c>
    </row>
    <row r="537" spans="1:18" ht="13.5" customHeight="1">
      <c r="A537" s="345">
        <v>18</v>
      </c>
      <c r="B537" s="349" t="s">
        <v>18</v>
      </c>
      <c r="C537" s="194">
        <f t="shared" si="24"/>
        <v>0</v>
      </c>
      <c r="D537" s="236">
        <f t="shared" si="24"/>
        <v>0</v>
      </c>
      <c r="E537" s="251">
        <f aca="true" t="shared" si="43" ref="E537:Q537">E21+E60+E99+E138+E182+E226+E271+E315+E403+E359+E448+E493</f>
        <v>0</v>
      </c>
      <c r="F537" s="251">
        <f t="shared" si="43"/>
        <v>0</v>
      </c>
      <c r="G537" s="251">
        <f t="shared" si="43"/>
        <v>0</v>
      </c>
      <c r="H537" s="251">
        <f t="shared" si="43"/>
        <v>0</v>
      </c>
      <c r="I537" s="251">
        <f t="shared" si="43"/>
        <v>0</v>
      </c>
      <c r="J537" s="251">
        <f t="shared" si="43"/>
        <v>0</v>
      </c>
      <c r="K537" s="251">
        <f t="shared" si="43"/>
        <v>0</v>
      </c>
      <c r="L537" s="251">
        <f t="shared" si="43"/>
        <v>0</v>
      </c>
      <c r="M537" s="251">
        <f t="shared" si="43"/>
        <v>0</v>
      </c>
      <c r="N537" s="251">
        <f t="shared" si="43"/>
        <v>0</v>
      </c>
      <c r="O537" s="251">
        <f t="shared" si="43"/>
        <v>0</v>
      </c>
      <c r="P537" s="251">
        <f t="shared" si="43"/>
        <v>0</v>
      </c>
      <c r="Q537" s="362">
        <f t="shared" si="43"/>
        <v>0</v>
      </c>
      <c r="R537" s="364">
        <f t="shared" si="29"/>
        <v>0</v>
      </c>
    </row>
    <row r="538" spans="1:18" ht="13.5" customHeight="1">
      <c r="A538" s="345">
        <v>19</v>
      </c>
      <c r="B538" s="349" t="s">
        <v>19</v>
      </c>
      <c r="C538" s="194">
        <f t="shared" si="24"/>
        <v>0</v>
      </c>
      <c r="D538" s="236">
        <f t="shared" si="24"/>
        <v>0</v>
      </c>
      <c r="E538" s="251">
        <f aca="true" t="shared" si="44" ref="E538:Q538">E22+E61+E100+E139+E183+E227+E272+E316+E404+E360+E449+E494</f>
        <v>0</v>
      </c>
      <c r="F538" s="251">
        <f t="shared" si="44"/>
        <v>0</v>
      </c>
      <c r="G538" s="251">
        <f t="shared" si="44"/>
        <v>0</v>
      </c>
      <c r="H538" s="251">
        <f t="shared" si="44"/>
        <v>0</v>
      </c>
      <c r="I538" s="251">
        <f t="shared" si="44"/>
        <v>0</v>
      </c>
      <c r="J538" s="251">
        <f t="shared" si="44"/>
        <v>0</v>
      </c>
      <c r="K538" s="251">
        <f t="shared" si="44"/>
        <v>0</v>
      </c>
      <c r="L538" s="251">
        <f t="shared" si="44"/>
        <v>0</v>
      </c>
      <c r="M538" s="251">
        <f t="shared" si="44"/>
        <v>0</v>
      </c>
      <c r="N538" s="251">
        <f t="shared" si="44"/>
        <v>0</v>
      </c>
      <c r="O538" s="251">
        <f t="shared" si="44"/>
        <v>0</v>
      </c>
      <c r="P538" s="251">
        <f t="shared" si="44"/>
        <v>0</v>
      </c>
      <c r="Q538" s="362">
        <f t="shared" si="44"/>
        <v>0</v>
      </c>
      <c r="R538" s="364">
        <f t="shared" si="29"/>
        <v>0</v>
      </c>
    </row>
    <row r="539" spans="1:18" ht="13.5" customHeight="1">
      <c r="A539" s="345">
        <v>20</v>
      </c>
      <c r="B539" s="349" t="s">
        <v>20</v>
      </c>
      <c r="C539" s="194">
        <f t="shared" si="24"/>
        <v>0</v>
      </c>
      <c r="D539" s="236">
        <f t="shared" si="24"/>
        <v>0</v>
      </c>
      <c r="E539" s="251">
        <f aca="true" t="shared" si="45" ref="E539:Q539">E23+E62+E101+E140+E184+E228+E273+E317+E405+E361+E450+E495</f>
        <v>0</v>
      </c>
      <c r="F539" s="251">
        <f t="shared" si="45"/>
        <v>0</v>
      </c>
      <c r="G539" s="251">
        <f t="shared" si="45"/>
        <v>0</v>
      </c>
      <c r="H539" s="251">
        <f t="shared" si="45"/>
        <v>0</v>
      </c>
      <c r="I539" s="251">
        <f t="shared" si="45"/>
        <v>0</v>
      </c>
      <c r="J539" s="251">
        <f t="shared" si="45"/>
        <v>0</v>
      </c>
      <c r="K539" s="251">
        <f t="shared" si="45"/>
        <v>0</v>
      </c>
      <c r="L539" s="251">
        <f t="shared" si="45"/>
        <v>0</v>
      </c>
      <c r="M539" s="251">
        <f t="shared" si="45"/>
        <v>0</v>
      </c>
      <c r="N539" s="251">
        <f t="shared" si="45"/>
        <v>0</v>
      </c>
      <c r="O539" s="251">
        <f t="shared" si="45"/>
        <v>0</v>
      </c>
      <c r="P539" s="251">
        <f t="shared" si="45"/>
        <v>0</v>
      </c>
      <c r="Q539" s="362">
        <f t="shared" si="45"/>
        <v>0</v>
      </c>
      <c r="R539" s="364">
        <f t="shared" si="29"/>
        <v>0</v>
      </c>
    </row>
    <row r="540" spans="1:18" ht="13.5" customHeight="1">
      <c r="A540" s="345">
        <v>21</v>
      </c>
      <c r="B540" s="349" t="s">
        <v>21</v>
      </c>
      <c r="C540" s="194">
        <f t="shared" si="24"/>
        <v>0</v>
      </c>
      <c r="D540" s="236">
        <f t="shared" si="24"/>
        <v>0</v>
      </c>
      <c r="E540" s="251">
        <f aca="true" t="shared" si="46" ref="E540:Q540">E24+E63+E102+E141+E185+E229+E274+E318+E406+E362+E451+E496</f>
        <v>0</v>
      </c>
      <c r="F540" s="251">
        <f t="shared" si="46"/>
        <v>0</v>
      </c>
      <c r="G540" s="251">
        <f t="shared" si="46"/>
        <v>397.47</v>
      </c>
      <c r="H540" s="251">
        <f t="shared" si="46"/>
        <v>0</v>
      </c>
      <c r="I540" s="251">
        <f t="shared" si="46"/>
        <v>0</v>
      </c>
      <c r="J540" s="251">
        <f t="shared" si="46"/>
        <v>0</v>
      </c>
      <c r="K540" s="251">
        <f t="shared" si="46"/>
        <v>0</v>
      </c>
      <c r="L540" s="251">
        <f t="shared" si="46"/>
        <v>0</v>
      </c>
      <c r="M540" s="251">
        <f t="shared" si="46"/>
        <v>0</v>
      </c>
      <c r="N540" s="251">
        <f t="shared" si="46"/>
        <v>0</v>
      </c>
      <c r="O540" s="251">
        <f t="shared" si="46"/>
        <v>0</v>
      </c>
      <c r="P540" s="251">
        <f t="shared" si="46"/>
        <v>0</v>
      </c>
      <c r="Q540" s="362">
        <f t="shared" si="46"/>
        <v>0</v>
      </c>
      <c r="R540" s="364">
        <f t="shared" si="29"/>
        <v>397.47</v>
      </c>
    </row>
    <row r="541" spans="1:18" ht="13.5" customHeight="1">
      <c r="A541" s="345">
        <v>22</v>
      </c>
      <c r="B541" s="349" t="s">
        <v>22</v>
      </c>
      <c r="C541" s="194">
        <f t="shared" si="24"/>
        <v>0</v>
      </c>
      <c r="D541" s="236">
        <f t="shared" si="24"/>
        <v>0</v>
      </c>
      <c r="E541" s="251">
        <f aca="true" t="shared" si="47" ref="E541:Q541">E25+E64+E103+E142+E186+E230+E275+E319+E407+E363+E452+E497</f>
        <v>0</v>
      </c>
      <c r="F541" s="251">
        <f t="shared" si="47"/>
        <v>0</v>
      </c>
      <c r="G541" s="251">
        <f t="shared" si="47"/>
        <v>0</v>
      </c>
      <c r="H541" s="251">
        <f t="shared" si="47"/>
        <v>0</v>
      </c>
      <c r="I541" s="251">
        <f t="shared" si="47"/>
        <v>0</v>
      </c>
      <c r="J541" s="251">
        <f t="shared" si="47"/>
        <v>0</v>
      </c>
      <c r="K541" s="251">
        <f t="shared" si="47"/>
        <v>0</v>
      </c>
      <c r="L541" s="251">
        <f t="shared" si="47"/>
        <v>0</v>
      </c>
      <c r="M541" s="251">
        <f t="shared" si="47"/>
        <v>0</v>
      </c>
      <c r="N541" s="251">
        <f t="shared" si="47"/>
        <v>0</v>
      </c>
      <c r="O541" s="251">
        <f t="shared" si="47"/>
        <v>0</v>
      </c>
      <c r="P541" s="251">
        <f t="shared" si="47"/>
        <v>0</v>
      </c>
      <c r="Q541" s="362">
        <f t="shared" si="47"/>
        <v>0</v>
      </c>
      <c r="R541" s="364">
        <f t="shared" si="29"/>
        <v>0</v>
      </c>
    </row>
    <row r="542" spans="1:18" ht="13.5" customHeight="1">
      <c r="A542" s="345">
        <v>23</v>
      </c>
      <c r="B542" s="349" t="s">
        <v>23</v>
      </c>
      <c r="C542" s="194">
        <f t="shared" si="24"/>
        <v>0</v>
      </c>
      <c r="D542" s="236">
        <f t="shared" si="24"/>
        <v>0</v>
      </c>
      <c r="E542" s="251">
        <f aca="true" t="shared" si="48" ref="E542:Q542">E26+E65+E104+E143+E187+E231+E276+E320+E408+E364+E453+E498</f>
        <v>0</v>
      </c>
      <c r="F542" s="251">
        <f t="shared" si="48"/>
        <v>0</v>
      </c>
      <c r="G542" s="251">
        <f t="shared" si="48"/>
        <v>395.41</v>
      </c>
      <c r="H542" s="251">
        <f t="shared" si="48"/>
        <v>0</v>
      </c>
      <c r="I542" s="251">
        <f t="shared" si="48"/>
        <v>0</v>
      </c>
      <c r="J542" s="251">
        <f t="shared" si="48"/>
        <v>0</v>
      </c>
      <c r="K542" s="251">
        <f t="shared" si="48"/>
        <v>0</v>
      </c>
      <c r="L542" s="251">
        <f t="shared" si="48"/>
        <v>0</v>
      </c>
      <c r="M542" s="251">
        <f t="shared" si="48"/>
        <v>0</v>
      </c>
      <c r="N542" s="251">
        <f t="shared" si="48"/>
        <v>0</v>
      </c>
      <c r="O542" s="251">
        <f t="shared" si="48"/>
        <v>0</v>
      </c>
      <c r="P542" s="251">
        <f t="shared" si="48"/>
        <v>0</v>
      </c>
      <c r="Q542" s="362">
        <f t="shared" si="48"/>
        <v>0</v>
      </c>
      <c r="R542" s="364">
        <f t="shared" si="29"/>
        <v>395.41</v>
      </c>
    </row>
    <row r="543" spans="1:18" ht="13.5" customHeight="1">
      <c r="A543" s="345">
        <v>24</v>
      </c>
      <c r="B543" s="349" t="s">
        <v>24</v>
      </c>
      <c r="C543" s="194">
        <f t="shared" si="24"/>
        <v>0</v>
      </c>
      <c r="D543" s="236">
        <f t="shared" si="24"/>
        <v>0</v>
      </c>
      <c r="E543" s="251">
        <f aca="true" t="shared" si="49" ref="E543:Q543">E27+E66+E105+E144+E188+E232+E277+E321+E409+E365+E454+E499</f>
        <v>0</v>
      </c>
      <c r="F543" s="251">
        <f t="shared" si="49"/>
        <v>0</v>
      </c>
      <c r="G543" s="251">
        <f t="shared" si="49"/>
        <v>0</v>
      </c>
      <c r="H543" s="251">
        <f t="shared" si="49"/>
        <v>0</v>
      </c>
      <c r="I543" s="251">
        <f t="shared" si="49"/>
        <v>0</v>
      </c>
      <c r="J543" s="251">
        <f t="shared" si="49"/>
        <v>0</v>
      </c>
      <c r="K543" s="251">
        <f t="shared" si="49"/>
        <v>0</v>
      </c>
      <c r="L543" s="251">
        <f t="shared" si="49"/>
        <v>0</v>
      </c>
      <c r="M543" s="251">
        <f t="shared" si="49"/>
        <v>0</v>
      </c>
      <c r="N543" s="251">
        <f t="shared" si="49"/>
        <v>0</v>
      </c>
      <c r="O543" s="251">
        <f t="shared" si="49"/>
        <v>0</v>
      </c>
      <c r="P543" s="251">
        <f t="shared" si="49"/>
        <v>0</v>
      </c>
      <c r="Q543" s="362">
        <f t="shared" si="49"/>
        <v>0</v>
      </c>
      <c r="R543" s="364">
        <f t="shared" si="29"/>
        <v>0</v>
      </c>
    </row>
    <row r="544" spans="1:18" ht="13.5" customHeight="1">
      <c r="A544" s="345">
        <v>25</v>
      </c>
      <c r="B544" s="349" t="s">
        <v>25</v>
      </c>
      <c r="C544" s="194">
        <f t="shared" si="24"/>
        <v>0</v>
      </c>
      <c r="D544" s="236">
        <f t="shared" si="24"/>
        <v>0</v>
      </c>
      <c r="E544" s="251">
        <f aca="true" t="shared" si="50" ref="E544:Q544">E28+E67+E106+E145+E189+E233+E278+E322+E410+E366+E455+E500</f>
        <v>0</v>
      </c>
      <c r="F544" s="251">
        <f t="shared" si="50"/>
        <v>0</v>
      </c>
      <c r="G544" s="251">
        <f t="shared" si="50"/>
        <v>0</v>
      </c>
      <c r="H544" s="251">
        <f t="shared" si="50"/>
        <v>0</v>
      </c>
      <c r="I544" s="251">
        <f t="shared" si="50"/>
        <v>0</v>
      </c>
      <c r="J544" s="251">
        <f t="shared" si="50"/>
        <v>0</v>
      </c>
      <c r="K544" s="251">
        <f t="shared" si="50"/>
        <v>0</v>
      </c>
      <c r="L544" s="251">
        <f t="shared" si="50"/>
        <v>0</v>
      </c>
      <c r="M544" s="251">
        <f t="shared" si="50"/>
        <v>0</v>
      </c>
      <c r="N544" s="251">
        <f t="shared" si="50"/>
        <v>0</v>
      </c>
      <c r="O544" s="251">
        <f t="shared" si="50"/>
        <v>0</v>
      </c>
      <c r="P544" s="251">
        <f t="shared" si="50"/>
        <v>0</v>
      </c>
      <c r="Q544" s="362">
        <f t="shared" si="50"/>
        <v>0</v>
      </c>
      <c r="R544" s="364">
        <f t="shared" si="29"/>
        <v>0</v>
      </c>
    </row>
    <row r="545" spans="1:18" ht="13.5" customHeight="1">
      <c r="A545" s="345">
        <v>26</v>
      </c>
      <c r="B545" s="349" t="s">
        <v>26</v>
      </c>
      <c r="C545" s="194">
        <f t="shared" si="24"/>
        <v>0</v>
      </c>
      <c r="D545" s="236">
        <f t="shared" si="24"/>
        <v>0</v>
      </c>
      <c r="E545" s="251">
        <f aca="true" t="shared" si="51" ref="E545:Q545">E29+E68+E107+E146+E190+E234+E279+E323+E411+E367+E456+E501</f>
        <v>0</v>
      </c>
      <c r="F545" s="251">
        <f t="shared" si="51"/>
        <v>0</v>
      </c>
      <c r="G545" s="251">
        <f t="shared" si="51"/>
        <v>0</v>
      </c>
      <c r="H545" s="251">
        <f t="shared" si="51"/>
        <v>0</v>
      </c>
      <c r="I545" s="251">
        <f t="shared" si="51"/>
        <v>0</v>
      </c>
      <c r="J545" s="251">
        <f t="shared" si="51"/>
        <v>0</v>
      </c>
      <c r="K545" s="251">
        <f t="shared" si="51"/>
        <v>0</v>
      </c>
      <c r="L545" s="251">
        <f t="shared" si="51"/>
        <v>0</v>
      </c>
      <c r="M545" s="251">
        <f t="shared" si="51"/>
        <v>0</v>
      </c>
      <c r="N545" s="251">
        <f t="shared" si="51"/>
        <v>0</v>
      </c>
      <c r="O545" s="251">
        <f t="shared" si="51"/>
        <v>0</v>
      </c>
      <c r="P545" s="251">
        <f t="shared" si="51"/>
        <v>0</v>
      </c>
      <c r="Q545" s="362">
        <f t="shared" si="51"/>
        <v>0</v>
      </c>
      <c r="R545" s="364">
        <f t="shared" si="29"/>
        <v>0</v>
      </c>
    </row>
    <row r="546" spans="1:18" ht="13.5" customHeight="1">
      <c r="A546" s="345">
        <v>27</v>
      </c>
      <c r="B546" s="349" t="s">
        <v>29</v>
      </c>
      <c r="C546" s="194">
        <f t="shared" si="24"/>
        <v>0</v>
      </c>
      <c r="D546" s="236">
        <f t="shared" si="24"/>
        <v>0</v>
      </c>
      <c r="E546" s="251">
        <f aca="true" t="shared" si="52" ref="E546:Q546">E30+E69+E108+E149+E193+E237+E282+E326+E414+E370+E459+E504</f>
        <v>0</v>
      </c>
      <c r="F546" s="251">
        <f t="shared" si="52"/>
        <v>0</v>
      </c>
      <c r="G546" s="251">
        <f t="shared" si="52"/>
        <v>0</v>
      </c>
      <c r="H546" s="251">
        <f t="shared" si="52"/>
        <v>0</v>
      </c>
      <c r="I546" s="251">
        <f t="shared" si="52"/>
        <v>0</v>
      </c>
      <c r="J546" s="251">
        <f t="shared" si="52"/>
        <v>0</v>
      </c>
      <c r="K546" s="251">
        <f t="shared" si="52"/>
        <v>0</v>
      </c>
      <c r="L546" s="251">
        <f t="shared" si="52"/>
        <v>0</v>
      </c>
      <c r="M546" s="251">
        <f t="shared" si="52"/>
        <v>0</v>
      </c>
      <c r="N546" s="251">
        <f t="shared" si="52"/>
        <v>0</v>
      </c>
      <c r="O546" s="251">
        <f t="shared" si="52"/>
        <v>0</v>
      </c>
      <c r="P546" s="251">
        <f t="shared" si="52"/>
        <v>0</v>
      </c>
      <c r="Q546" s="362">
        <f t="shared" si="52"/>
        <v>0</v>
      </c>
      <c r="R546" s="364">
        <f t="shared" si="29"/>
        <v>0</v>
      </c>
    </row>
    <row r="547" spans="1:18" ht="13.5" customHeight="1">
      <c r="A547" s="345">
        <v>28</v>
      </c>
      <c r="B547" s="349" t="s">
        <v>31</v>
      </c>
      <c r="C547" s="194">
        <f t="shared" si="24"/>
        <v>0</v>
      </c>
      <c r="D547" s="236">
        <f t="shared" si="24"/>
        <v>0</v>
      </c>
      <c r="E547" s="251">
        <f aca="true" t="shared" si="53" ref="E547:Q547">E31+E70+E109+E151+E195+E239+E284+E328+E416+E372+E461+E506</f>
        <v>0</v>
      </c>
      <c r="F547" s="251">
        <f t="shared" si="53"/>
        <v>0</v>
      </c>
      <c r="G547" s="251">
        <f t="shared" si="53"/>
        <v>1052.55</v>
      </c>
      <c r="H547" s="251">
        <f t="shared" si="53"/>
        <v>0</v>
      </c>
      <c r="I547" s="251">
        <f t="shared" si="53"/>
        <v>0</v>
      </c>
      <c r="J547" s="251">
        <f t="shared" si="53"/>
        <v>0</v>
      </c>
      <c r="K547" s="251">
        <f t="shared" si="53"/>
        <v>0</v>
      </c>
      <c r="L547" s="251">
        <f t="shared" si="53"/>
        <v>719.82</v>
      </c>
      <c r="M547" s="251">
        <f t="shared" si="53"/>
        <v>0</v>
      </c>
      <c r="N547" s="251">
        <f t="shared" si="53"/>
        <v>0</v>
      </c>
      <c r="O547" s="251">
        <f t="shared" si="53"/>
        <v>0</v>
      </c>
      <c r="P547" s="251">
        <f t="shared" si="53"/>
        <v>0</v>
      </c>
      <c r="Q547" s="362">
        <f t="shared" si="53"/>
        <v>0</v>
      </c>
      <c r="R547" s="364">
        <f t="shared" si="29"/>
        <v>1772.37</v>
      </c>
    </row>
    <row r="548" spans="1:18" ht="13.5" customHeight="1">
      <c r="A548" s="345">
        <v>29</v>
      </c>
      <c r="B548" s="349" t="s">
        <v>32</v>
      </c>
      <c r="C548" s="194">
        <f t="shared" si="24"/>
        <v>0</v>
      </c>
      <c r="D548" s="236">
        <f t="shared" si="24"/>
        <v>0</v>
      </c>
      <c r="E548" s="251">
        <f aca="true" t="shared" si="54" ref="E548:Q548">E32+E71+E110+E152+E196+E240+E285+E329+E417+E373+E462+E507</f>
        <v>0</v>
      </c>
      <c r="F548" s="251">
        <f t="shared" si="54"/>
        <v>0</v>
      </c>
      <c r="G548" s="251">
        <f t="shared" si="54"/>
        <v>0</v>
      </c>
      <c r="H548" s="251">
        <f t="shared" si="54"/>
        <v>0</v>
      </c>
      <c r="I548" s="251">
        <f t="shared" si="54"/>
        <v>0</v>
      </c>
      <c r="J548" s="251">
        <f t="shared" si="54"/>
        <v>0</v>
      </c>
      <c r="K548" s="251">
        <f t="shared" si="54"/>
        <v>0</v>
      </c>
      <c r="L548" s="251">
        <f t="shared" si="54"/>
        <v>0</v>
      </c>
      <c r="M548" s="251">
        <f t="shared" si="54"/>
        <v>0</v>
      </c>
      <c r="N548" s="251">
        <f t="shared" si="54"/>
        <v>0</v>
      </c>
      <c r="O548" s="251">
        <f t="shared" si="54"/>
        <v>0</v>
      </c>
      <c r="P548" s="251">
        <f t="shared" si="54"/>
        <v>0</v>
      </c>
      <c r="Q548" s="362">
        <f t="shared" si="54"/>
        <v>0</v>
      </c>
      <c r="R548" s="364">
        <f t="shared" si="29"/>
        <v>0</v>
      </c>
    </row>
    <row r="549" spans="1:18" ht="13.5" customHeight="1">
      <c r="A549" s="345">
        <v>30</v>
      </c>
      <c r="B549" s="350" t="s">
        <v>34</v>
      </c>
      <c r="C549" s="194">
        <f t="shared" si="24"/>
        <v>0</v>
      </c>
      <c r="D549" s="236">
        <f t="shared" si="24"/>
        <v>0</v>
      </c>
      <c r="E549" s="251">
        <f aca="true" t="shared" si="55" ref="E549:Q549">E33+E72+E111+E154+E198+E242+E287+E331+E419+E375+E464+E509</f>
        <v>0</v>
      </c>
      <c r="F549" s="251">
        <f t="shared" si="55"/>
        <v>0</v>
      </c>
      <c r="G549" s="251">
        <f t="shared" si="55"/>
        <v>0</v>
      </c>
      <c r="H549" s="251">
        <f t="shared" si="55"/>
        <v>0</v>
      </c>
      <c r="I549" s="251">
        <f t="shared" si="55"/>
        <v>0</v>
      </c>
      <c r="J549" s="251">
        <f t="shared" si="55"/>
        <v>0</v>
      </c>
      <c r="K549" s="251">
        <f t="shared" si="55"/>
        <v>0</v>
      </c>
      <c r="L549" s="251">
        <f t="shared" si="55"/>
        <v>0</v>
      </c>
      <c r="M549" s="251">
        <f t="shared" si="55"/>
        <v>0</v>
      </c>
      <c r="N549" s="251">
        <f t="shared" si="55"/>
        <v>0</v>
      </c>
      <c r="O549" s="251">
        <f t="shared" si="55"/>
        <v>0</v>
      </c>
      <c r="P549" s="251">
        <f t="shared" si="55"/>
        <v>0</v>
      </c>
      <c r="Q549" s="362">
        <f t="shared" si="55"/>
        <v>0</v>
      </c>
      <c r="R549" s="364">
        <f t="shared" si="29"/>
        <v>0</v>
      </c>
    </row>
    <row r="550" spans="1:18" ht="13.5" customHeight="1">
      <c r="A550" s="345">
        <v>31</v>
      </c>
      <c r="B550" s="351" t="s">
        <v>41</v>
      </c>
      <c r="C550" s="194">
        <f t="shared" si="24"/>
        <v>0</v>
      </c>
      <c r="D550" s="236">
        <f t="shared" si="24"/>
        <v>0</v>
      </c>
      <c r="E550" s="251">
        <f aca="true" t="shared" si="56" ref="E550:Q550">E34+E73+E112+E155+E199+E243+E288+E332+E420+E376+E465+E510</f>
        <v>0</v>
      </c>
      <c r="F550" s="251">
        <f t="shared" si="56"/>
        <v>0</v>
      </c>
      <c r="G550" s="251">
        <f t="shared" si="56"/>
        <v>351.75</v>
      </c>
      <c r="H550" s="251">
        <f t="shared" si="56"/>
        <v>0</v>
      </c>
      <c r="I550" s="251">
        <f t="shared" si="56"/>
        <v>0</v>
      </c>
      <c r="J550" s="251">
        <f t="shared" si="56"/>
        <v>0</v>
      </c>
      <c r="K550" s="251">
        <f t="shared" si="56"/>
        <v>0</v>
      </c>
      <c r="L550" s="251">
        <f t="shared" si="56"/>
        <v>0</v>
      </c>
      <c r="M550" s="251">
        <f t="shared" si="56"/>
        <v>0</v>
      </c>
      <c r="N550" s="251">
        <f t="shared" si="56"/>
        <v>0</v>
      </c>
      <c r="O550" s="251">
        <f t="shared" si="56"/>
        <v>0</v>
      </c>
      <c r="P550" s="251">
        <f t="shared" si="56"/>
        <v>0</v>
      </c>
      <c r="Q550" s="362">
        <f t="shared" si="56"/>
        <v>0</v>
      </c>
      <c r="R550" s="364">
        <f t="shared" si="29"/>
        <v>351.75</v>
      </c>
    </row>
    <row r="551" spans="1:18" ht="13.5" customHeight="1" thickBot="1">
      <c r="A551" s="345">
        <v>32</v>
      </c>
      <c r="B551" s="352" t="s">
        <v>38</v>
      </c>
      <c r="C551" s="225">
        <f t="shared" si="24"/>
        <v>0</v>
      </c>
      <c r="D551" s="237">
        <f t="shared" si="24"/>
        <v>0</v>
      </c>
      <c r="E551" s="251">
        <f aca="true" t="shared" si="57" ref="E551:Q551">E35+E74+E113+E156+E200+E244+E289+E333+E421+E377+E466+E511</f>
        <v>0</v>
      </c>
      <c r="F551" s="251">
        <f t="shared" si="57"/>
        <v>0</v>
      </c>
      <c r="G551" s="251">
        <f t="shared" si="57"/>
        <v>0</v>
      </c>
      <c r="H551" s="251">
        <f t="shared" si="57"/>
        <v>0</v>
      </c>
      <c r="I551" s="251">
        <f t="shared" si="57"/>
        <v>0</v>
      </c>
      <c r="J551" s="251">
        <f t="shared" si="57"/>
        <v>0</v>
      </c>
      <c r="K551" s="251">
        <f t="shared" si="57"/>
        <v>0</v>
      </c>
      <c r="L551" s="251">
        <f t="shared" si="57"/>
        <v>0</v>
      </c>
      <c r="M551" s="251">
        <f t="shared" si="57"/>
        <v>0</v>
      </c>
      <c r="N551" s="251">
        <f t="shared" si="57"/>
        <v>0</v>
      </c>
      <c r="O551" s="251">
        <f t="shared" si="57"/>
        <v>0</v>
      </c>
      <c r="P551" s="251">
        <f t="shared" si="57"/>
        <v>0</v>
      </c>
      <c r="Q551" s="362">
        <f t="shared" si="57"/>
        <v>0</v>
      </c>
      <c r="R551" s="364">
        <f>SUM(E551:P551)+Q551</f>
        <v>0</v>
      </c>
    </row>
    <row r="552" spans="1:18" ht="13.5" customHeight="1" thickBot="1">
      <c r="A552" s="355"/>
      <c r="B552" s="353" t="s">
        <v>12</v>
      </c>
      <c r="C552" s="195">
        <f>SUM(C520:C551)</f>
        <v>0</v>
      </c>
      <c r="D552" s="195">
        <f>SUM(D520:D551)</f>
        <v>0</v>
      </c>
      <c r="E552" s="185">
        <f aca="true" t="shared" si="58" ref="E552:Q552">SUM(E520:E550)+E551</f>
        <v>0</v>
      </c>
      <c r="F552" s="185">
        <f t="shared" si="58"/>
        <v>0</v>
      </c>
      <c r="G552" s="185">
        <f t="shared" si="58"/>
        <v>6371.62</v>
      </c>
      <c r="H552" s="185">
        <f t="shared" si="58"/>
        <v>0</v>
      </c>
      <c r="I552" s="370">
        <f t="shared" si="58"/>
        <v>0</v>
      </c>
      <c r="J552" s="370">
        <f t="shared" si="58"/>
        <v>0</v>
      </c>
      <c r="K552" s="370">
        <f t="shared" si="58"/>
        <v>0</v>
      </c>
      <c r="L552" s="185">
        <f t="shared" si="58"/>
        <v>719.82</v>
      </c>
      <c r="M552" s="373">
        <f t="shared" si="58"/>
        <v>0</v>
      </c>
      <c r="N552" s="370">
        <f t="shared" si="58"/>
        <v>0</v>
      </c>
      <c r="O552" s="370">
        <f t="shared" si="58"/>
        <v>0</v>
      </c>
      <c r="P552" s="370">
        <f t="shared" si="58"/>
        <v>0</v>
      </c>
      <c r="Q552" s="367">
        <f t="shared" si="58"/>
        <v>0</v>
      </c>
      <c r="R552" s="177">
        <f>SUM(R520:R551)</f>
        <v>7091.44</v>
      </c>
    </row>
    <row r="553" spans="1:18" ht="13.5" customHeight="1" thickBot="1">
      <c r="A553" s="356"/>
      <c r="B553" s="354"/>
      <c r="C553" s="180">
        <v>2110</v>
      </c>
      <c r="D553" s="180">
        <v>2111</v>
      </c>
      <c r="E553" s="233">
        <v>2210</v>
      </c>
      <c r="F553" s="181">
        <v>2220</v>
      </c>
      <c r="G553" s="181">
        <v>2230</v>
      </c>
      <c r="H553" s="181">
        <v>2240</v>
      </c>
      <c r="I553" s="372">
        <v>2800</v>
      </c>
      <c r="J553" s="372">
        <v>2250</v>
      </c>
      <c r="K553" s="371">
        <v>2272</v>
      </c>
      <c r="L553" s="182">
        <v>2273</v>
      </c>
      <c r="M553" s="374">
        <v>2274</v>
      </c>
      <c r="N553" s="372">
        <v>2275</v>
      </c>
      <c r="O553" s="372">
        <v>3110</v>
      </c>
      <c r="P553" s="371">
        <v>2730</v>
      </c>
      <c r="Q553" s="368">
        <v>2271</v>
      </c>
      <c r="R553" s="177">
        <f>E552+F552+G552+H552+K552+L552+M552+N552+O552+P552+Q552+J552+I552</f>
        <v>7091.44</v>
      </c>
    </row>
    <row r="554" spans="1:18" ht="13.5" customHeight="1">
      <c r="A554" s="178"/>
      <c r="B554" s="256" t="s">
        <v>43</v>
      </c>
      <c r="C554" s="238">
        <f aca="true" t="shared" si="59" ref="C554:Q554">C38+C77+C116+C160+C204+C248+C293+C337+C381+C425+C470+C515</f>
        <v>0</v>
      </c>
      <c r="D554" s="238">
        <f t="shared" si="59"/>
        <v>0</v>
      </c>
      <c r="E554" s="252">
        <f t="shared" si="59"/>
        <v>0</v>
      </c>
      <c r="F554" s="252">
        <f t="shared" si="59"/>
        <v>0</v>
      </c>
      <c r="G554" s="252">
        <f t="shared" si="59"/>
        <v>6371.62</v>
      </c>
      <c r="H554" s="252">
        <f t="shared" si="59"/>
        <v>0</v>
      </c>
      <c r="I554" s="369">
        <f t="shared" si="59"/>
        <v>0</v>
      </c>
      <c r="J554" s="369">
        <f t="shared" si="59"/>
        <v>0</v>
      </c>
      <c r="K554" s="369">
        <f t="shared" si="59"/>
        <v>0</v>
      </c>
      <c r="L554" s="252">
        <f t="shared" si="59"/>
        <v>2279.17</v>
      </c>
      <c r="M554" s="369">
        <f t="shared" si="59"/>
        <v>0</v>
      </c>
      <c r="N554" s="369">
        <f t="shared" si="59"/>
        <v>0</v>
      </c>
      <c r="O554" s="369">
        <f t="shared" si="59"/>
        <v>0</v>
      </c>
      <c r="P554" s="369">
        <f t="shared" si="59"/>
        <v>0</v>
      </c>
      <c r="Q554" s="369">
        <f t="shared" si="59"/>
        <v>0</v>
      </c>
      <c r="R554" s="252">
        <f>SUM(C554:Q554)</f>
        <v>8650.79</v>
      </c>
    </row>
    <row r="555" spans="2:18" ht="13.5" customHeight="1">
      <c r="B555" s="337" t="s">
        <v>12</v>
      </c>
      <c r="C555" s="2">
        <f aca="true" t="shared" si="60" ref="C555:R555">SUM(C554:C554)</f>
        <v>0</v>
      </c>
      <c r="D555" s="2">
        <f t="shared" si="60"/>
        <v>0</v>
      </c>
      <c r="E555" s="252">
        <f t="shared" si="60"/>
        <v>0</v>
      </c>
      <c r="F555" s="252">
        <f t="shared" si="60"/>
        <v>0</v>
      </c>
      <c r="G555" s="252">
        <f t="shared" si="60"/>
        <v>6371.62</v>
      </c>
      <c r="H555" s="238">
        <f t="shared" si="60"/>
        <v>0</v>
      </c>
      <c r="I555" s="369">
        <f t="shared" si="60"/>
        <v>0</v>
      </c>
      <c r="J555" s="369">
        <f t="shared" si="60"/>
        <v>0</v>
      </c>
      <c r="K555" s="375">
        <f t="shared" si="60"/>
        <v>0</v>
      </c>
      <c r="L555" s="252">
        <f t="shared" si="60"/>
        <v>2279.17</v>
      </c>
      <c r="M555" s="369">
        <f t="shared" si="60"/>
        <v>0</v>
      </c>
      <c r="N555" s="369">
        <f t="shared" si="60"/>
        <v>0</v>
      </c>
      <c r="O555" s="369">
        <f t="shared" si="60"/>
        <v>0</v>
      </c>
      <c r="P555" s="369">
        <f t="shared" si="60"/>
        <v>0</v>
      </c>
      <c r="Q555" s="369">
        <f t="shared" si="60"/>
        <v>0</v>
      </c>
      <c r="R555" s="252">
        <f t="shared" si="60"/>
        <v>8650.79</v>
      </c>
    </row>
    <row r="556" ht="13.5" customHeight="1"/>
    <row r="557" ht="13.5" customHeight="1"/>
  </sheetData>
  <sheetProtection/>
  <mergeCells count="20">
    <mergeCell ref="B248:R248"/>
    <mergeCell ref="B251:R251"/>
    <mergeCell ref="B515:R515"/>
    <mergeCell ref="B518:R518"/>
    <mergeCell ref="B340:R340"/>
    <mergeCell ref="B384:R384"/>
    <mergeCell ref="B425:R425"/>
    <mergeCell ref="B428:R428"/>
    <mergeCell ref="B470:R470"/>
    <mergeCell ref="B473:R473"/>
    <mergeCell ref="B252:R252"/>
    <mergeCell ref="B296:R296"/>
    <mergeCell ref="B2:R2"/>
    <mergeCell ref="B41:R41"/>
    <mergeCell ref="B80:R80"/>
    <mergeCell ref="B119:R119"/>
    <mergeCell ref="B161:R161"/>
    <mergeCell ref="B163:R163"/>
    <mergeCell ref="B204:R204"/>
    <mergeCell ref="B207:R20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Vita</cp:lastModifiedBy>
  <cp:lastPrinted>2018-04-23T08:33:20Z</cp:lastPrinted>
  <dcterms:created xsi:type="dcterms:W3CDTF">2007-10-22T13:43:01Z</dcterms:created>
  <dcterms:modified xsi:type="dcterms:W3CDTF">2018-04-23T09:45:39Z</dcterms:modified>
  <cp:category/>
  <cp:version/>
  <cp:contentType/>
  <cp:contentStatus/>
</cp:coreProperties>
</file>